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<sst xmlns="http://schemas.openxmlformats.org/spreadsheetml/2006/main" count="172" uniqueCount="123">
  <si>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</si>
  <si>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</si>
  <si>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</si>
  <si>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</si>
  <si>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</si>
  <si>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</si>
  <si>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</si>
  <si>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</si>
  <si>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</si>
  <si>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</si>
  <si>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</si>
  <si>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</si>
  <si>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</si>
  <si>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</si>
  <si>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</si>
  <si>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</si>
  <si>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</si>
  <si>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</si>
  <si>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</si>
  <si>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</si>
  <si>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</si>
  <si>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</si>
  <si>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</si>
  <si>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</si>
  <si>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</si>
  <si>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</si>
  <si>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</si>
  <si>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</si>
  <si>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</si>
  <si>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</si>
  <si>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</si>
  <si>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</si>
  <si>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</si>
  <si>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</si>
  <si>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</si>
  <si>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</si>
  <si>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</si>
  <si>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</si>
  <si>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</si>
  <si>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</si>
  <si>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</si>
  <si>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</si>
  <si>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</si>
  <si>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</si>
  <si>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</si>
  <si>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</si>
  <si>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</si>
  <si>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</si>
  <si>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</si>
  <si>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</si>
  <si>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</si>
  <si>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</si>
  <si>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</si>
  <si>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</si>
  <si>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</si>
  <si>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</si>
  <si>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</si>
  <si>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</si>
  <si>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</si>
  <si>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</si>
  <si>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</si>
  <si>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</si>
  <si>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</si>
  <si>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</si>
  <si>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</si>
  <si>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</si>
  <si>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</si>
  <si>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</si>
  <si>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</si>
  <si>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</si>
  <si>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</si>
  <si>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</si>
  <si>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</si>
  <si>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</si>
  <si>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</si>
  <si>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</si>
  <si>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</si>
  <si>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</si>
  <si>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</si>
  <si>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</si>
  <si>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</si>
  <si>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</si>
  <si>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</si>
  <si>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</si>
  <si>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</si>
  <si>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</si>
  <si>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</si>
  <si>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</si>
  <si>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</si>
  <si>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</si>
  <si>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</si>
  <si>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</si>
  <si>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</si>
  <si>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</si>
  <si>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</si>
  <si>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</si>
  <si>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</si>
  <si>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</si>
  <si>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</si>
  <si>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</si>
  <si>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</si>
  <si>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</si>
  <si>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</si>
  <si>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</si>
  <si>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</si>
  <si>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</si>
  <si>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</si>
  <si>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</si>
  <si>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</si>
  <si>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</si>
  <si>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</si>
  <si>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</si>
  <si>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</si>
  <si>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</si>
  <si>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</si>
  <si>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</si>
  <si>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велосипедної інфраструктури</t>
  </si>
  <si>
    <t>Програма розвитку земельних відносин</t>
  </si>
  <si>
    <t>Програма впорядкуванні тимчасових споруд і зовнішньої реклами</t>
  </si>
  <si>
    <t>План на 9 місяців, тис.грн.</t>
  </si>
  <si>
    <t>Відсоток виконання плану 9 місяців</t>
  </si>
  <si>
    <t>Відхилення від плану 9 місяців, тис.грн.</t>
  </si>
  <si>
    <t>Аналіз використання коштів міського бюджету за 2016 рік станом на 17.09.2016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</si>
</sst>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41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189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0" borderId="15" xfId="0" applyNumberFormat="1" applyFont="1" applyFill="1" applyBorder="1" applyAlignment="1">
      <alignment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32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6" xfId="0" applyNumberFormat="1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6" xfId="0" applyNumberFormat="1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5" xfId="0" applyNumberFormat="1" applyFont="1" applyFill="1" applyBorder="1" applyAlignment="1">
      <alignment/>
    </xf>
    <xf numFmtId="190" fontId="0" fillId="0" borderId="13" xfId="0" applyNumberFormat="1" applyFont="1" applyFill="1" applyBorder="1" applyAlignment="1">
      <alignment wrapText="1"/>
    </xf>
    <xf numFmtId="190" fontId="0" fillId="0" borderId="11" xfId="0" applyNumberFormat="1" applyFont="1" applyFill="1" applyBorder="1" applyAlignment="1">
      <alignment/>
    </xf>
    <xf numFmtId="190" fontId="4" fillId="0" borderId="16" xfId="0" applyNumberFormat="1" applyFont="1" applyFill="1" applyBorder="1" applyAlignment="1">
      <alignment wrapText="1"/>
    </xf>
    <xf numFmtId="190" fontId="4" fillId="0" borderId="12" xfId="0" applyNumberFormat="1" applyFont="1" applyFill="1" applyBorder="1" applyAlignment="1">
      <alignment wrapText="1"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5" xfId="0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89" fontId="4" fillId="32" borderId="15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6" xfId="0" applyNumberFormat="1" applyFont="1" applyFill="1" applyBorder="1" applyAlignment="1">
      <alignment/>
    </xf>
    <xf numFmtId="190" fontId="5" fillId="32" borderId="20" xfId="0" applyNumberFormat="1" applyFont="1" applyFill="1" applyBorder="1" applyAlignment="1">
      <alignment wrapText="1"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5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35"/>
          <c:w val="0.858"/>
          <c:h val="0.623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59296.50000000001</c:v>
                </c:pt>
                <c:pt idx="1">
                  <c:v>49680.7</c:v>
                </c:pt>
                <c:pt idx="2">
                  <c:v>2121.4</c:v>
                </c:pt>
                <c:pt idx="3">
                  <c:v>7494.400000000011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39567.99999999999</c:v>
                </c:pt>
                <c:pt idx="1">
                  <c:v>33878.399999999994</c:v>
                </c:pt>
                <c:pt idx="2">
                  <c:v>1162.4999999999998</c:v>
                </c:pt>
                <c:pt idx="3">
                  <c:v>4527.0999999999985</c:v>
                </c:pt>
              </c:numCache>
            </c:numRef>
          </c:val>
          <c:shape val="box"/>
        </c:ser>
        <c:shape val="box"/>
        <c:axId val="9348419"/>
        <c:axId val="17026908"/>
      </c:bar3DChart>
      <c:catAx>
        <c:axId val="93484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7026908"/>
        <c:crosses val="autoZero"/>
        <c:auto val="1"/>
        <c:lblOffset val="100"/>
        <c:tickLblSkip val="1"/>
        <c:noMultiLvlLbl val="0"/>
      </c:catAx>
      <c:valAx>
        <c:axId val="1702690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934841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975"/>
          <c:w val="0.8435"/>
          <c:h val="0.66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445444.6</c:v>
                </c:pt>
                <c:pt idx="1">
                  <c:v>187897.6</c:v>
                </c:pt>
                <c:pt idx="2">
                  <c:v>312466.79999999993</c:v>
                </c:pt>
                <c:pt idx="3">
                  <c:v>85.7</c:v>
                </c:pt>
                <c:pt idx="4">
                  <c:v>27114.4</c:v>
                </c:pt>
                <c:pt idx="5">
                  <c:v>74980.8</c:v>
                </c:pt>
                <c:pt idx="6">
                  <c:v>14740</c:v>
                </c:pt>
                <c:pt idx="7">
                  <c:v>16056.900000000038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279406.19999999995</c:v>
                </c:pt>
                <c:pt idx="1">
                  <c:v>123260.10000000002</c:v>
                </c:pt>
                <c:pt idx="2">
                  <c:v>213621.1999999999</c:v>
                </c:pt>
                <c:pt idx="3">
                  <c:v>36.69999999999999</c:v>
                </c:pt>
                <c:pt idx="4">
                  <c:v>16640.200000000008</c:v>
                </c:pt>
                <c:pt idx="5">
                  <c:v>32020.8</c:v>
                </c:pt>
                <c:pt idx="6">
                  <c:v>8178.9000000000015</c:v>
                </c:pt>
                <c:pt idx="7">
                  <c:v>8908.400000000049</c:v>
                </c:pt>
              </c:numCache>
            </c:numRef>
          </c:val>
          <c:shape val="box"/>
        </c:ser>
        <c:shape val="box"/>
        <c:axId val="19024445"/>
        <c:axId val="37002278"/>
      </c:bar3DChart>
      <c:catAx>
        <c:axId val="1902444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7002278"/>
        <c:crosses val="autoZero"/>
        <c:auto val="1"/>
        <c:lblOffset val="100"/>
        <c:tickLblSkip val="1"/>
        <c:noMultiLvlLbl val="0"/>
      </c:catAx>
      <c:valAx>
        <c:axId val="3700227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902444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875"/>
          <c:w val="0.9295"/>
          <c:h val="0.66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260212</c:v>
                </c:pt>
                <c:pt idx="1">
                  <c:v>191519.6</c:v>
                </c:pt>
                <c:pt idx="2">
                  <c:v>189585.8</c:v>
                </c:pt>
                <c:pt idx="3">
                  <c:v>22109.699999999997</c:v>
                </c:pt>
                <c:pt idx="4">
                  <c:v>3917.9</c:v>
                </c:pt>
                <c:pt idx="5">
                  <c:v>29723.4</c:v>
                </c:pt>
                <c:pt idx="6">
                  <c:v>1591.6</c:v>
                </c:pt>
                <c:pt idx="7">
                  <c:v>13283.600000000011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171066.30000000002</c:v>
                </c:pt>
                <c:pt idx="1">
                  <c:v>126874.09999999996</c:v>
                </c:pt>
                <c:pt idx="2">
                  <c:v>133216.1</c:v>
                </c:pt>
                <c:pt idx="3">
                  <c:v>15055.000000000002</c:v>
                </c:pt>
                <c:pt idx="4">
                  <c:v>2866.8000000000006</c:v>
                </c:pt>
                <c:pt idx="5">
                  <c:v>14771.599999999997</c:v>
                </c:pt>
                <c:pt idx="6">
                  <c:v>1074.1999999999998</c:v>
                </c:pt>
                <c:pt idx="7">
                  <c:v>4082.600000000016</c:v>
                </c:pt>
              </c:numCache>
            </c:numRef>
          </c:val>
          <c:shape val="box"/>
        </c:ser>
        <c:shape val="box"/>
        <c:axId val="64585047"/>
        <c:axId val="44394512"/>
      </c:bar3DChart>
      <c:catAx>
        <c:axId val="6458504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4394512"/>
        <c:crosses val="autoZero"/>
        <c:auto val="1"/>
        <c:lblOffset val="100"/>
        <c:tickLblSkip val="1"/>
        <c:noMultiLvlLbl val="0"/>
      </c:catAx>
      <c:valAx>
        <c:axId val="4439451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58504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025"/>
          <c:w val="0.87025"/>
          <c:h val="0.593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48353.2</c:v>
                </c:pt>
                <c:pt idx="1">
                  <c:v>36349.299999999996</c:v>
                </c:pt>
                <c:pt idx="2">
                  <c:v>3384.4</c:v>
                </c:pt>
                <c:pt idx="3">
                  <c:v>929.3</c:v>
                </c:pt>
                <c:pt idx="4">
                  <c:v>60.8</c:v>
                </c:pt>
                <c:pt idx="5">
                  <c:v>7629.4000000000015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33152</c:v>
                </c:pt>
                <c:pt idx="1">
                  <c:v>24570.29999999999</c:v>
                </c:pt>
                <c:pt idx="2">
                  <c:v>1271.2999999999995</c:v>
                </c:pt>
                <c:pt idx="3">
                  <c:v>450.4000000000001</c:v>
                </c:pt>
                <c:pt idx="4">
                  <c:v>25.5</c:v>
                </c:pt>
                <c:pt idx="5">
                  <c:v>6834.500000000013</c:v>
                </c:pt>
              </c:numCache>
            </c:numRef>
          </c:val>
          <c:shape val="box"/>
        </c:ser>
        <c:shape val="box"/>
        <c:axId val="64006289"/>
        <c:axId val="39185690"/>
      </c:bar3DChart>
      <c:catAx>
        <c:axId val="640062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9185690"/>
        <c:crosses val="autoZero"/>
        <c:auto val="1"/>
        <c:lblOffset val="100"/>
        <c:tickLblSkip val="1"/>
        <c:noMultiLvlLbl val="0"/>
      </c:catAx>
      <c:valAx>
        <c:axId val="391856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00628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85"/>
          <c:w val="0.86375"/>
          <c:h val="0.639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17141.1</c:v>
                </c:pt>
                <c:pt idx="1">
                  <c:v>10328.7</c:v>
                </c:pt>
                <c:pt idx="2">
                  <c:v>12</c:v>
                </c:pt>
                <c:pt idx="3">
                  <c:v>287</c:v>
                </c:pt>
                <c:pt idx="4">
                  <c:v>933.1</c:v>
                </c:pt>
                <c:pt idx="5">
                  <c:v>200</c:v>
                </c:pt>
                <c:pt idx="6">
                  <c:v>5380.299999999997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10027.499999999995</c:v>
                </c:pt>
                <c:pt idx="1">
                  <c:v>6744.999999999998</c:v>
                </c:pt>
                <c:pt idx="3">
                  <c:v>148.70000000000002</c:v>
                </c:pt>
                <c:pt idx="4">
                  <c:v>387.70000000000005</c:v>
                </c:pt>
                <c:pt idx="5">
                  <c:v>160</c:v>
                </c:pt>
                <c:pt idx="6">
                  <c:v>2586.0999999999967</c:v>
                </c:pt>
              </c:numCache>
            </c:numRef>
          </c:val>
          <c:shape val="box"/>
        </c:ser>
        <c:shape val="box"/>
        <c:axId val="17126891"/>
        <c:axId val="19924292"/>
      </c:bar3DChart>
      <c:catAx>
        <c:axId val="1712689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9924292"/>
        <c:crosses val="autoZero"/>
        <c:auto val="1"/>
        <c:lblOffset val="100"/>
        <c:tickLblSkip val="2"/>
        <c:noMultiLvlLbl val="0"/>
      </c:catAx>
      <c:valAx>
        <c:axId val="1992429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12689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625"/>
          <c:w val="0.8775"/>
          <c:h val="0.657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6131.4</c:v>
                </c:pt>
                <c:pt idx="1">
                  <c:v>1642.6000000000001</c:v>
                </c:pt>
                <c:pt idx="2">
                  <c:v>331.8</c:v>
                </c:pt>
                <c:pt idx="3">
                  <c:v>627.5</c:v>
                </c:pt>
                <c:pt idx="4">
                  <c:v>3331.3999999999996</c:v>
                </c:pt>
                <c:pt idx="5">
                  <c:v>198.09999999999962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3247.5999999999995</c:v>
                </c:pt>
                <c:pt idx="1">
                  <c:v>1116.8</c:v>
                </c:pt>
                <c:pt idx="2">
                  <c:v>311.70000000000005</c:v>
                </c:pt>
                <c:pt idx="3">
                  <c:v>200.20000000000002</c:v>
                </c:pt>
                <c:pt idx="4">
                  <c:v>1541.4</c:v>
                </c:pt>
                <c:pt idx="5">
                  <c:v>77.49999999999909</c:v>
                </c:pt>
              </c:numCache>
            </c:numRef>
          </c:val>
          <c:shape val="box"/>
        </c:ser>
        <c:shape val="box"/>
        <c:axId val="45100901"/>
        <c:axId val="3254926"/>
      </c:bar3DChart>
      <c:catAx>
        <c:axId val="451009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254926"/>
        <c:crosses val="autoZero"/>
        <c:auto val="1"/>
        <c:lblOffset val="100"/>
        <c:tickLblSkip val="1"/>
        <c:noMultiLvlLbl val="0"/>
      </c:catAx>
      <c:valAx>
        <c:axId val="32549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100901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2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325"/>
          <c:w val="0.85725"/>
          <c:h val="0.674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58912.50000000001</c:v>
                </c:pt>
              </c:numCache>
            </c:numRef>
          </c:val>
          <c:shape val="box"/>
        </c:ser>
        <c:shape val="box"/>
        <c:axId val="29294335"/>
        <c:axId val="62322424"/>
      </c:bar3DChart>
      <c:catAx>
        <c:axId val="2929433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62322424"/>
        <c:crosses val="autoZero"/>
        <c:auto val="1"/>
        <c:lblOffset val="100"/>
        <c:tickLblSkip val="1"/>
        <c:noMultiLvlLbl val="0"/>
      </c:catAx>
      <c:valAx>
        <c:axId val="6232242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29433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62"/>
          <c:w val="0.851"/>
          <c:h val="0.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445444.6</c:v>
                </c:pt>
                <c:pt idx="1">
                  <c:v>260212</c:v>
                </c:pt>
                <c:pt idx="2">
                  <c:v>48353.2</c:v>
                </c:pt>
                <c:pt idx="3">
                  <c:v>17141.1</c:v>
                </c:pt>
                <c:pt idx="4">
                  <c:v>6131.4</c:v>
                </c:pt>
                <c:pt idx="5">
                  <c:v>59296.50000000001</c:v>
                </c:pt>
                <c:pt idx="6">
                  <c:v>78413.9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279406.19999999995</c:v>
                </c:pt>
                <c:pt idx="1">
                  <c:v>171066.30000000002</c:v>
                </c:pt>
                <c:pt idx="2">
                  <c:v>33152</c:v>
                </c:pt>
                <c:pt idx="3">
                  <c:v>10027.499999999995</c:v>
                </c:pt>
                <c:pt idx="4">
                  <c:v>3247.5999999999995</c:v>
                </c:pt>
                <c:pt idx="5">
                  <c:v>39567.99999999999</c:v>
                </c:pt>
                <c:pt idx="6">
                  <c:v>58912.50000000001</c:v>
                </c:pt>
              </c:numCache>
            </c:numRef>
          </c:val>
          <c:shape val="box"/>
        </c:ser>
        <c:shape val="box"/>
        <c:axId val="24030905"/>
        <c:axId val="14951554"/>
      </c:bar3DChart>
      <c:catAx>
        <c:axId val="240309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4951554"/>
        <c:crosses val="autoZero"/>
        <c:auto val="1"/>
        <c:lblOffset val="100"/>
        <c:tickLblSkip val="1"/>
        <c:noMultiLvlLbl val="0"/>
      </c:catAx>
      <c:valAx>
        <c:axId val="1495155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03090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325"/>
          <c:w val="0.84125"/>
          <c:h val="0.660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фінансування'!$C$151:$C$156</c:f>
              <c:numCache>
                <c:ptCount val="6"/>
                <c:pt idx="0">
                  <c:v>608055.8999999997</c:v>
                </c:pt>
                <c:pt idx="1">
                  <c:v>121928.70000000001</c:v>
                </c:pt>
                <c:pt idx="2">
                  <c:v>31721.800000000003</c:v>
                </c:pt>
                <c:pt idx="3">
                  <c:v>29372.4</c:v>
                </c:pt>
                <c:pt idx="4">
                  <c:v>22288.699999999997</c:v>
                </c:pt>
                <c:pt idx="5">
                  <c:v>690553.2000000001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фінансування'!$A$151:$A$156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фінансування'!$D$151:$D$156</c:f>
              <c:numCache>
                <c:ptCount val="6"/>
                <c:pt idx="0">
                  <c:v>418619.1999999999</c:v>
                </c:pt>
                <c:pt idx="1">
                  <c:v>55141.6</c:v>
                </c:pt>
                <c:pt idx="2">
                  <c:v>20002.700000000008</c:v>
                </c:pt>
                <c:pt idx="3">
                  <c:v>15916.700000000003</c:v>
                </c:pt>
                <c:pt idx="4">
                  <c:v>15172.500000000002</c:v>
                </c:pt>
                <c:pt idx="5">
                  <c:v>492280.2000000002</c:v>
                </c:pt>
              </c:numCache>
            </c:numRef>
          </c:val>
          <c:shape val="box"/>
        </c:ser>
        <c:shape val="box"/>
        <c:axId val="346259"/>
        <c:axId val="3116332"/>
      </c:bar3DChart>
      <c:catAx>
        <c:axId val="346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116332"/>
        <c:crosses val="autoZero"/>
        <c:auto val="1"/>
        <c:lblOffset val="100"/>
        <c:tickLblSkip val="1"/>
        <c:noMultiLvlLbl val="0"/>
      </c:catAx>
      <c:valAx>
        <c:axId val="31163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6259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2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6"/>
  <sheetViews>
    <sheetView tabSelected="1" zoomScale="80" zoomScaleNormal="80" zoomScalePageLayoutView="0" workbookViewId="0" topLeftCell="A1">
      <pane xSplit="1" ySplit="5" topLeftCell="B14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111</v>
      </c>
      <c r="D3" s="135" t="s">
        <v>28</v>
      </c>
      <c r="E3" s="135" t="s">
        <v>27</v>
      </c>
      <c r="F3" s="135" t="s">
        <v>120</v>
      </c>
      <c r="G3" s="135" t="s">
        <v>113</v>
      </c>
      <c r="H3" s="135" t="s">
        <v>121</v>
      </c>
      <c r="I3" s="135" t="s">
        <v>112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324048.3</v>
      </c>
      <c r="C6" s="50">
        <f>426773.1+25+188.4+2200.9+6.1-1051.6+141.1+593.1+16568.5</f>
        <v>445444.6</v>
      </c>
      <c r="D6" s="51">
        <f>3665.2+5419.3+785.5+220.1+4705.1+6727.5+675.5+217.6+0.2+117.8+63.8+2988.6+54.7+4050.2+6796.2+2.3+3434.8+4933.2+160.9+167.4+314.1+2557.2+10885.5+1595.8+93.6-0.1+283.5+1215.4+0.6+12639.1+1592.4+1725+382.8+2437.5+657.3+293+1110.6+319.6+4653.1+9115.3+2196.5+1200.1+555.2+54+289.2+375.2+3.5+816.6+1693+5225.2+7119.8+953.9+23.9+435.6+590.3+267.1+7321.6+7083.6+846.3+1133+0.2-0.3+268.9+7.9+473.7+10209.7+758.2+212.3+2689.8+41.5+25.8+2050+255.5+786.6+23738.6+706.6+788.4+78.8+108.9-0.1+0.2+1550.5+93.8+823.1+119.1+7741.1+114.5+190+7727.7+14528.5+462.3+362.2+553.3+38.5+481.1+3.7+13890.3+5001+39.9+4.8+0.1+1223.2+110.3+60.6+283.6+0.7+333.3+1860.9+4481.8+357.9+530.4+9.1+287.1+12.3+824.9+3788.7+1076.6+5.7+22.2+199.3+0.6+56.5+345.6+74.2+5939.3+15.4+329.9+242.8+27.1+377.4+179.6+253.2+325.6+45.4+5613.3+450.2+4414.7+121+0.2+0.1+58.8+336.6+2.1+8.9+280+11704.8+125.6+58.7+382.5</f>
        <v>279406.19999999995</v>
      </c>
      <c r="E6" s="3">
        <f>D6/D150*100</f>
        <v>27.469979586738365</v>
      </c>
      <c r="F6" s="3">
        <f>D6/B6*100</f>
        <v>86.22362777400775</v>
      </c>
      <c r="G6" s="3">
        <f aca="true" t="shared" si="0" ref="G6:G43">D6/C6*100</f>
        <v>62.72524125334553</v>
      </c>
      <c r="H6" s="51">
        <f>B6-D6</f>
        <v>44642.100000000035</v>
      </c>
      <c r="I6" s="51">
        <f aca="true" t="shared" si="1" ref="I6:I43">C6-D6</f>
        <v>166038.40000000002</v>
      </c>
    </row>
    <row r="7" spans="1:9" s="41" customFormat="1" ht="18.75">
      <c r="A7" s="112" t="s">
        <v>97</v>
      </c>
      <c r="B7" s="105">
        <v>142612.5</v>
      </c>
      <c r="C7" s="102">
        <f>185717.4+2200.9+593.1-613.8</f>
        <v>187897.6</v>
      </c>
      <c r="D7" s="113">
        <f>5419.3+86.3+97.4+56.7+6727.5+560.1+2.9+0.2+1.9+63.8+1046.3+6719.3+1648.4+0.1+3694.8+239.7+583.7+0.6+6625.2+702.1+382.8+87+367+343.9+3400.9+728.9+60.5+24.4+35.2+200.9+3.5+875.7+5583.4+116.6+1.2+51+154.1+185+7008.2+781.4+9+27.4+5784.8+41.1+1904.1+40+25.8+43.2+13765.2+44.5+90.5+6.9+0.2+1354.2+90.1+211.3+7741.1+79.7+0.5+14284+271.3+5.1+51.3+1.4+117.4+5001+4.8+3.6+29.1+10+85+1344.7+5.3+72.4+8.4+114.2+1598.2+12.4+10+0.6+71.9+23.6+2726+15.4+11.3+22.8+1.7+70.2+1.2+45.4+5283.6+78.8+6.1+91.1+0.1+30.3+2.1+5762.1+58.7</f>
        <v>123260.10000000002</v>
      </c>
      <c r="E7" s="103">
        <f>D7/D6*100</f>
        <v>44.11501963807533</v>
      </c>
      <c r="F7" s="103">
        <f>D7/B7*100</f>
        <v>86.43008151459377</v>
      </c>
      <c r="G7" s="103">
        <f>D7/C7*100</f>
        <v>65.599613832215</v>
      </c>
      <c r="H7" s="113">
        <f>B7-D7</f>
        <v>19352.39999999998</v>
      </c>
      <c r="I7" s="113">
        <f t="shared" si="1"/>
        <v>64637.499999999985</v>
      </c>
    </row>
    <row r="8" spans="1:9" ht="18">
      <c r="A8" s="26" t="s">
        <v>3</v>
      </c>
      <c r="B8" s="46">
        <v>230576.6</v>
      </c>
      <c r="C8" s="47">
        <f>298081.6+593.1+13792.1</f>
        <v>312466.79999999993</v>
      </c>
      <c r="D8" s="48">
        <f>3665.2+5419.3+4645.9+6727.5+3.3+4022.1+5553.6+3348.6+2163.6+10156.4+7.2+0.6+10315.5+1+3228.6+8514.3+1326+3.5+12.8+5216.4+5594.6+5651.4+7023.1+2.4+8.5+10209.4+23441.7+11+0.7+1305.4+14.8+7741.1+6989.1+14284+12975.3+5001-0.2+978.2+60.6+1860.9+4481.8+5.3+3681.5+988.5+22.2+100.4+5804.9+15.4+5269.5+334.6+4306.4-0.2+58.8+8.9+11058.8</f>
        <v>213621.1999999999</v>
      </c>
      <c r="E8" s="1">
        <f>D8/D6*100</f>
        <v>76.45542582805962</v>
      </c>
      <c r="F8" s="1">
        <f>D8/B8*100</f>
        <v>92.646521806636</v>
      </c>
      <c r="G8" s="1">
        <f t="shared" si="0"/>
        <v>68.36604720885545</v>
      </c>
      <c r="H8" s="48">
        <f>B8-D8</f>
        <v>16955.40000000011</v>
      </c>
      <c r="I8" s="48">
        <f t="shared" si="1"/>
        <v>98845.60000000003</v>
      </c>
    </row>
    <row r="9" spans="1:9" ht="18">
      <c r="A9" s="26" t="s">
        <v>2</v>
      </c>
      <c r="B9" s="46">
        <v>69.2</v>
      </c>
      <c r="C9" s="47">
        <v>85.7</v>
      </c>
      <c r="D9" s="48">
        <f>4+2.9+1.6+0.5+0.5+1.9+1.2+1.8+1.6+0.7+2+3.7+0.1+1.9+2.9+1.2+0.4+1.1+0.2+0.6+1.5+1.7+0.3+0.5+1.3-0.1+0.4+0.3</f>
        <v>36.69999999999999</v>
      </c>
      <c r="E9" s="12">
        <f>D9/D6*100</f>
        <v>0.01313499843596885</v>
      </c>
      <c r="F9" s="128">
        <f>D9/B9*100</f>
        <v>53.03468208092483</v>
      </c>
      <c r="G9" s="1">
        <f t="shared" si="0"/>
        <v>42.82380396732787</v>
      </c>
      <c r="H9" s="48">
        <f aca="true" t="shared" si="2" ref="H9:H43">B9-D9</f>
        <v>32.500000000000014</v>
      </c>
      <c r="I9" s="48">
        <f t="shared" si="1"/>
        <v>49.000000000000014</v>
      </c>
    </row>
    <row r="10" spans="1:9" ht="18">
      <c r="A10" s="26" t="s">
        <v>1</v>
      </c>
      <c r="B10" s="46">
        <v>21092.8</v>
      </c>
      <c r="C10" s="47">
        <f>28052.9-28-1051.6+141.1</f>
        <v>27114.4</v>
      </c>
      <c r="D10" s="52">
        <f>345.3+106.4+54.5+56.4+92.4+115.9+196.4+52.1+68.7+86.2+0.1+55.3+64.8+145.1+546+625.6+89.3+262.4+197+554.9+204.6+131+84.2+167.8+234+244.3+224.6+2.6+720.8+274.8+196.9+92.7+302.2-0.1+54+252.1+59.6+339.9+327.5+6.9+10.8+311+12.3+27.2+155.4+21.3+553+37.1+38.4+755.2+0.1-0.1+264.4+10.5+355.1+1.5+262.2+1.5+789.3+6.1+101.2+159+638.7+417.1+1.5+108.9+0.1+33.2+10.5+429.9+102.7+103.9+244.5+7.4+115.2+99.7+133.5+60+180.5+41.7+0.4+24.4+34.1+43.2+30.5+44.6+164.5+50.6+31+89+73.5+23.5+24.2+171.8+146.2+23.8+262.5+255+84.2+424+114.7+287.8</f>
        <v>16640.200000000008</v>
      </c>
      <c r="E10" s="1">
        <f>D10/D6*100</f>
        <v>5.955558609651472</v>
      </c>
      <c r="F10" s="1">
        <f aca="true" t="shared" si="3" ref="F10:F41">D10/B10*100</f>
        <v>78.89042706515971</v>
      </c>
      <c r="G10" s="1">
        <f t="shared" si="0"/>
        <v>61.37034195851654</v>
      </c>
      <c r="H10" s="48">
        <f t="shared" si="2"/>
        <v>4452.599999999991</v>
      </c>
      <c r="I10" s="48">
        <f t="shared" si="1"/>
        <v>10474.199999999993</v>
      </c>
    </row>
    <row r="11" spans="1:9" ht="18">
      <c r="A11" s="26" t="s">
        <v>0</v>
      </c>
      <c r="B11" s="46">
        <v>48819.5</v>
      </c>
      <c r="C11" s="47">
        <f>71654.8+3326</f>
        <v>74980.8</v>
      </c>
      <c r="D11" s="53">
        <f>435.2+111+615.5+123.2+0.2+1.9+63.8+2790+1.3+13.9+1170.1+0.8+3680.6+96.8+2.2+30.4+160.1+658.7+3.6+0.1+13.6+960.9+1669.6+874.3+1539.2+231.8+2136.6+6.8+729.7+312.8+219.9+145.7+390.2+1017.2+39.8+0.1+21+264.2+174.1+1212.5+1026.8+409.3+10.1+150.1+166.6+780.1+0.2+798.9+370.2+0.3+4.5+241.1+133.7+2045.4+40+25.8+712.2+172.5+300.5+9.8+35.6+53.9+72.6-0.1+18.5+39.4+88.9+37.4+86.7+103.9+0.7+146.1+22+54.4+428.7+4.8+64.5+37.6+17.1+170.4+78.7+36.7+4.1+11.1+391+31.5+30.1+0.1+4+19+41.9+3.4+55.5+2+48.7+155.8+15.6+14.9+38+82.3+2.2+28+38.6+83.7+3.3</f>
        <v>32020.8</v>
      </c>
      <c r="E11" s="1">
        <f>D11/D6*100</f>
        <v>11.460304030476061</v>
      </c>
      <c r="F11" s="1">
        <f t="shared" si="3"/>
        <v>65.59018425014594</v>
      </c>
      <c r="G11" s="1">
        <f t="shared" si="0"/>
        <v>42.70533256513667</v>
      </c>
      <c r="H11" s="48">
        <f t="shared" si="2"/>
        <v>16798.7</v>
      </c>
      <c r="I11" s="48">
        <f t="shared" si="1"/>
        <v>42960</v>
      </c>
    </row>
    <row r="12" spans="1:9" ht="18">
      <c r="A12" s="26" t="s">
        <v>15</v>
      </c>
      <c r="B12" s="46">
        <v>10501.3</v>
      </c>
      <c r="C12" s="47">
        <f>14712+28</f>
        <v>14740</v>
      </c>
      <c r="D12" s="48">
        <f>5+12.7+3.8+1250.6+160.8+241+218.1+277.6+20.3+413.8+8.3+240.5+24.8+2.5+338+212.8+1.2+3.8+19.1+319.6+33.1+186+278+233.1+1.2+181.4+178.6+208.7+296.2+195.1+36.2+3.8+12.7+114.5+331.8+187.3+241.1+252+65.5+0.1+9.1+67.9+257.1+135.7+183.8+52.2+8.7+103.4+132.8+254.3+130.9+17.4+13.1+1.8</f>
        <v>8178.9000000000015</v>
      </c>
      <c r="E12" s="1">
        <f>D12/D6*100</f>
        <v>2.9272435615244055</v>
      </c>
      <c r="F12" s="1">
        <f t="shared" si="3"/>
        <v>77.88464285374194</v>
      </c>
      <c r="G12" s="1">
        <f t="shared" si="0"/>
        <v>55.48778833107192</v>
      </c>
      <c r="H12" s="48">
        <f t="shared" si="2"/>
        <v>2322.399999999998</v>
      </c>
      <c r="I12" s="48">
        <f t="shared" si="1"/>
        <v>6561.0999999999985</v>
      </c>
    </row>
    <row r="13" spans="1:9" ht="18.75" thickBot="1">
      <c r="A13" s="26" t="s">
        <v>34</v>
      </c>
      <c r="B13" s="47">
        <f>B6-B8-B9-B10-B11-B12</f>
        <v>12988.899999999983</v>
      </c>
      <c r="C13" s="47">
        <f>C6-C8-C9-C10-C11-C12</f>
        <v>16056.900000000038</v>
      </c>
      <c r="D13" s="47">
        <f>D6-D8-D9-D10-D11-D12</f>
        <v>8908.400000000049</v>
      </c>
      <c r="E13" s="1">
        <f>D13/D6*100</f>
        <v>3.188332971852468</v>
      </c>
      <c r="F13" s="1">
        <f t="shared" si="3"/>
        <v>68.58471464096313</v>
      </c>
      <c r="G13" s="1">
        <f t="shared" si="0"/>
        <v>55.480198543928324</v>
      </c>
      <c r="H13" s="48">
        <f t="shared" si="2"/>
        <v>4080.4999999999345</v>
      </c>
      <c r="I13" s="48">
        <f t="shared" si="1"/>
        <v>7148.499999999989</v>
      </c>
    </row>
    <row r="14" spans="1:9" s="41" customFormat="1" ht="18.75" customHeight="1" hidden="1">
      <c r="A14" s="104" t="s">
        <v>77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74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75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76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196289.2</v>
      </c>
      <c r="C18" s="50">
        <f>250434.1+666.5+2890.8+76.6+110+6034</f>
        <v>260212</v>
      </c>
      <c r="D18" s="51">
        <f>5722.2+538+9070.5+238.7+827+135.9+565.7+282.3+195.5+508.6+5725.7+2584.4+8528.6+385.3+454.2+396.4+0.1+214+265.2+269.5+0.5+8027.1+27.9+93.7+5939.2+5138.8+56+477.3+131.9+9+0.1+1436.1+8061.5+2.5+534.2+673.6+6.2+8039.3+2467.1+4.9+257.2+37.3-0.1+78.2+1.3+4.3+6209+1529+9.3+345+3.7+11.2+1210.1+3+10814+393.8+312.6-0.1+17+1119+74+6482.1+806.9+928.2+379.8+9759+2006.1+100.2-0.2+2.3+43.5+4468.5+5631.4+279.6+1167.1+10779.2+6.2+53.7+96+84.8+3.2+3.9+807.5+4.9+6965.8+706.9+14.6+299.9+39+356.1+905.6+18.4+5278.9+4480.6+13+2.3+0.2+1.2+138+156.5+0.9+1007.9+6309.6+1.9+11.6</f>
        <v>171066.30000000002</v>
      </c>
      <c r="E18" s="3">
        <f>D18/D150*100</f>
        <v>16.818480652823244</v>
      </c>
      <c r="F18" s="3">
        <f>D18/B18*100</f>
        <v>87.15013357841389</v>
      </c>
      <c r="G18" s="3">
        <f t="shared" si="0"/>
        <v>65.74112646611225</v>
      </c>
      <c r="H18" s="51">
        <f>B18-D18</f>
        <v>25222.899999999994</v>
      </c>
      <c r="I18" s="51">
        <f t="shared" si="1"/>
        <v>89145.69999999998</v>
      </c>
    </row>
    <row r="19" spans="1:9" s="41" customFormat="1" ht="18.75">
      <c r="A19" s="112" t="s">
        <v>98</v>
      </c>
      <c r="B19" s="105">
        <v>142085.1</v>
      </c>
      <c r="C19" s="102">
        <f>188049.2+2890.8+579.6</f>
        <v>191519.6</v>
      </c>
      <c r="D19" s="113">
        <f>5722.2+537+5375.9+205.8+772.6+85.2+565.7+282.3+110.6+420+5725.7+2458.6+4587.6+87.8+415.3+396.4+207.1+48.5+226+0.5+7534.4+5939.2+109.6+53.8+253.7+52.6+9+0.1+1269.6+7891.8+2.5+349.5+267.7+2.8+4392.2+294.9+4.9+208.1+6.9+6.3+1.3+6209+1390.7+9.3+345+3.7+11.2+1094.2+3+6313.1+20+86.1+17-25.1+974.7+16.3+6468+487.6+730.6+313.4+5778+1842.4+100.2-0.2+35.6+4468.5+3624.8+212.2+797.1+6508.9+6.2+53.7+88.5+53.8+3+644.8+4.9+6932.5+706.9+14.6+124.5+13.9+691.2+16.6+5278.9+241.2+4.4-0.1+130.4+0.7+0.5+822.9+6309.6+1.9+11.6</f>
        <v>126874.09999999996</v>
      </c>
      <c r="E19" s="103">
        <f>D19/D18*100</f>
        <v>74.16662428543785</v>
      </c>
      <c r="F19" s="103">
        <f t="shared" si="3"/>
        <v>89.29444396351198</v>
      </c>
      <c r="G19" s="103">
        <f t="shared" si="0"/>
        <v>66.24601346285182</v>
      </c>
      <c r="H19" s="113">
        <f t="shared" si="2"/>
        <v>15211.000000000044</v>
      </c>
      <c r="I19" s="113">
        <f t="shared" si="1"/>
        <v>64645.500000000044</v>
      </c>
    </row>
    <row r="20" spans="1:9" ht="18">
      <c r="A20" s="26" t="s">
        <v>5</v>
      </c>
      <c r="B20" s="46">
        <v>144064.1</v>
      </c>
      <c r="C20" s="47">
        <f>186641.3+2944.5</f>
        <v>189585.8</v>
      </c>
      <c r="D20" s="48">
        <f>5722.2+1+8655.9+32.9+2.4+5725.7+8251+357.7+0.1+5829.5+27.9+3957+4812.9+26.7+6036.7+16.8+6839+2416.2+22.3+6209+10229+319.3+6468+9728.3+1605.6+3790.5+3239.9+10406.4+0.1+6965.8+3+5278.9+3995.6+0.1+6242.7</f>
        <v>133216.1</v>
      </c>
      <c r="E20" s="1">
        <f>D20/D18*100</f>
        <v>77.87395881012216</v>
      </c>
      <c r="F20" s="1">
        <f t="shared" si="3"/>
        <v>92.47001855424078</v>
      </c>
      <c r="G20" s="1">
        <f t="shared" si="0"/>
        <v>70.2669187249256</v>
      </c>
      <c r="H20" s="48">
        <f t="shared" si="2"/>
        <v>10848</v>
      </c>
      <c r="I20" s="48">
        <f t="shared" si="1"/>
        <v>56369.69999999998</v>
      </c>
    </row>
    <row r="21" spans="1:9" ht="18">
      <c r="A21" s="26" t="s">
        <v>2</v>
      </c>
      <c r="B21" s="46">
        <v>18737.9</v>
      </c>
      <c r="C21" s="47">
        <f>20454.1+500+110+1045.6</f>
        <v>22109.699999999997</v>
      </c>
      <c r="D21" s="48">
        <f>80.5+183.6+169.4+194.4+100+1.7+148.4+215.7+278.3+117.8+152.1+196.9+0.1+12.4+249.4+61.7+746.5+93.7+472.5+302.1+275.1+81.6+3.9+35+464.9+2.5+307.7+447+3.4+846+41.6+81.5+37.3+0.2+71.8+4.3+281.4+8.6+37.8+540.8+303.1+41.5+125.6+0.1+385.5+30+578.3+388.2+197.1+2.6+69.3+4.6+1.6+2146+165.2+545.7+294.3+32.8+88.5+1.1+3+277.3+263.6+9.5+247.8+39+257.7+357.6+16.6+213.8+6.3+2.3+15.7+121+473.1</f>
        <v>15055.000000000002</v>
      </c>
      <c r="E21" s="1">
        <f>D21/D18*100</f>
        <v>8.800681373245345</v>
      </c>
      <c r="F21" s="1">
        <f t="shared" si="3"/>
        <v>80.3451827579398</v>
      </c>
      <c r="G21" s="1">
        <f t="shared" si="0"/>
        <v>68.09228528654846</v>
      </c>
      <c r="H21" s="48">
        <f t="shared" si="2"/>
        <v>3682.8999999999996</v>
      </c>
      <c r="I21" s="48">
        <f t="shared" si="1"/>
        <v>7054.699999999995</v>
      </c>
    </row>
    <row r="22" spans="1:9" ht="18">
      <c r="A22" s="26" t="s">
        <v>1</v>
      </c>
      <c r="B22" s="46">
        <v>3133.3</v>
      </c>
      <c r="C22" s="47">
        <v>3917.9</v>
      </c>
      <c r="D22" s="48">
        <f>127.7+23.6+33.5+86.7+19.5+2.9+68.3+78.1+10.6+165.4+2.5+15.8+6.5+60.2+104.3+141.7+2.3+23.7+90.2+22.1+28.3+93.7+27.2-0.1+0.2+54.7+9.9+37.6+110.2+182.3+0.1+39.2+35.9+64.9+14.2+28+147.6+14.5+0.1+67.9+38.7+142.7+29+23+176.1+16.8+117.5+127.9+4.9+25.4+0.3+70.1+52.4</f>
        <v>2866.8000000000006</v>
      </c>
      <c r="E22" s="1">
        <f>D22/D18*100</f>
        <v>1.6758414719906845</v>
      </c>
      <c r="F22" s="1">
        <f t="shared" si="3"/>
        <v>91.49459036798265</v>
      </c>
      <c r="G22" s="1">
        <f t="shared" si="0"/>
        <v>73.17185226779654</v>
      </c>
      <c r="H22" s="48">
        <f t="shared" si="2"/>
        <v>266.49999999999955</v>
      </c>
      <c r="I22" s="48">
        <f t="shared" si="1"/>
        <v>1051.0999999999995</v>
      </c>
    </row>
    <row r="23" spans="1:9" ht="18">
      <c r="A23" s="26" t="s">
        <v>0</v>
      </c>
      <c r="B23" s="46">
        <v>18016</v>
      </c>
      <c r="C23" s="47">
        <f>27804.4+1919</f>
        <v>29723.4</v>
      </c>
      <c r="D23" s="48">
        <f>230.7+158.8+520.8+110.9+465.7+246.3+3.9+169.6+1975.3+126.5+2+97.4+199.5+165.4+184.4+1288.4+1114.2+20.1+11.6+1104.8+1285.8+113+130.6+146.2+28.7+1001+189.4+3.7+11.2+527.3+61.2-0.1+17+472.5+16.3+18.8+256.5+97.1+20+6.8+539.1+17+343.6+6.8+6.2+20.1+389.8+0.6+59.7+2.8+5.5+357.8+1.8+25.1+1.8+67.4+0.3+313.9+1.4+11.6</f>
        <v>14771.599999999997</v>
      </c>
      <c r="E23" s="1">
        <f>D23/D18*100</f>
        <v>8.63501461129398</v>
      </c>
      <c r="F23" s="1">
        <f t="shared" si="3"/>
        <v>81.99156305506214</v>
      </c>
      <c r="G23" s="1">
        <f t="shared" si="0"/>
        <v>49.696871824892156</v>
      </c>
      <c r="H23" s="48">
        <f t="shared" si="2"/>
        <v>3244.4000000000033</v>
      </c>
      <c r="I23" s="48">
        <f t="shared" si="1"/>
        <v>14951.800000000005</v>
      </c>
    </row>
    <row r="24" spans="1:9" ht="18">
      <c r="A24" s="26" t="s">
        <v>15</v>
      </c>
      <c r="B24" s="46">
        <v>1212.1</v>
      </c>
      <c r="C24" s="47">
        <v>1591.6</v>
      </c>
      <c r="D24" s="48">
        <f>73.6+22.6+5.3+2.4+2.5+128.1+0.1+11.5+121.2+11.2-0.1+27.3+71.1+31.4-0.1+0.8+24.6+83.5+19.6+26.5+24.2+67.9+2.3+4+48.1+8.9+75.1+2+0.1+126.5+0.8+36.4+6.5+8.3</f>
        <v>1074.1999999999998</v>
      </c>
      <c r="E24" s="1">
        <f>D24/D18*100</f>
        <v>0.627943668624387</v>
      </c>
      <c r="F24" s="1">
        <f t="shared" si="3"/>
        <v>88.6230509033908</v>
      </c>
      <c r="G24" s="1">
        <f t="shared" si="0"/>
        <v>67.49183211862277</v>
      </c>
      <c r="H24" s="48">
        <f t="shared" si="2"/>
        <v>137.9000000000001</v>
      </c>
      <c r="I24" s="48">
        <f t="shared" si="1"/>
        <v>517.4000000000001</v>
      </c>
    </row>
    <row r="25" spans="1:9" ht="18.75" thickBot="1">
      <c r="A25" s="26" t="s">
        <v>34</v>
      </c>
      <c r="B25" s="47">
        <f>B18-B20-B21-B22-B23-B24</f>
        <v>11125.800000000005</v>
      </c>
      <c r="C25" s="47">
        <f>C18-C20-C21-C22-C23-C24</f>
        <v>13283.600000000011</v>
      </c>
      <c r="D25" s="47">
        <f>D18-D20-D21-D22-D23-D24</f>
        <v>4082.600000000016</v>
      </c>
      <c r="E25" s="1">
        <f>D25/D18*100</f>
        <v>2.386560064723452</v>
      </c>
      <c r="F25" s="1">
        <f t="shared" si="3"/>
        <v>36.69488935627114</v>
      </c>
      <c r="G25" s="1">
        <f t="shared" si="0"/>
        <v>30.73413833599335</v>
      </c>
      <c r="H25" s="48">
        <f t="shared" si="2"/>
        <v>7043.199999999989</v>
      </c>
      <c r="I25" s="48">
        <f t="shared" si="1"/>
        <v>9200.999999999996</v>
      </c>
    </row>
    <row r="26" spans="1:9" ht="57" hidden="1" thickBot="1">
      <c r="A26" s="104" t="s">
        <v>85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86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87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88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89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90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91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37065.9</v>
      </c>
      <c r="C33" s="50">
        <f>50266.1+19.2-3069.6+1137.5</f>
        <v>48353.2</v>
      </c>
      <c r="D33" s="54">
        <f>1335+343.1+78.5+19.5+60.6+1286.4+5+525.1+62.5+112+1.7+1386+0.2+29.8+71.3+135.1+1382.9+3.4+310.7+57+0.3+439.8+201.8+26+5.1+1392.8+7+56.1+51.9+135.1+11.7-3.2+231.8+1414.3+16.9+11-0.2+603.2+0.2+19+81.6+9.6+1371.8+10.2+14.9+146.8+30.2+36.2+1344.1+263.3+76.8+0.3+429.2+64.9+5.5+1381.4+16.8+54.9+51.2+207.6+15.4+126.4+15.3+9.8+0.5+34.2+1655.6+70.2+2.8+42.6+12.1+525+37+13.4+40.6+24.8+3972.2+0.4+148.2+0.1+42.9+0.5+23.8+2824.4+23.3+10.5+0.1+74+543.8+10.7+40.3+47.5+14.7+430.8+3.7+24.6+81+9.2+0.1+1.7+6.9+338+13.7+0.5-0.8+0.1+119.8+55.7+503.4+95.1+362.5+0.1+0.4+10.4+116+10.7+70.1+52.4+38.6+1137.3+0.2+58.6+205.7+61.8+0.5+21.5+0.1+1406.8+8.9+79.1</f>
        <v>33152</v>
      </c>
      <c r="E33" s="3">
        <f>D33/D150*100</f>
        <v>3.2593577496116777</v>
      </c>
      <c r="F33" s="3">
        <f>D33/B33*100</f>
        <v>89.44069886337577</v>
      </c>
      <c r="G33" s="3">
        <f t="shared" si="0"/>
        <v>68.56216341421045</v>
      </c>
      <c r="H33" s="51">
        <f t="shared" si="2"/>
        <v>3913.9000000000015</v>
      </c>
      <c r="I33" s="51">
        <f t="shared" si="1"/>
        <v>15201.199999999997</v>
      </c>
    </row>
    <row r="34" spans="1:9" ht="18">
      <c r="A34" s="26" t="s">
        <v>3</v>
      </c>
      <c r="B34" s="46">
        <v>26991.2</v>
      </c>
      <c r="C34" s="47">
        <f>35016.6+195.2+1137.5</f>
        <v>36349.299999999996</v>
      </c>
      <c r="D34" s="48">
        <f>1335+1268.2+1354.9+1304.2+1357+1359.6+1365.6+1342.2+1381.4+3.9+1624.5+11.9+0.1+10+3950.5+2820.4+0.1+74+93.6+20+430.6+329.1+0.1+119.6+19.5+358.3+39+1137.3+0.1+58.6+10+1391</f>
        <v>24570.29999999999</v>
      </c>
      <c r="E34" s="1">
        <f>D34/D33*100</f>
        <v>74.11408059845557</v>
      </c>
      <c r="F34" s="1">
        <f t="shared" si="3"/>
        <v>91.0307804025015</v>
      </c>
      <c r="G34" s="1">
        <f t="shared" si="0"/>
        <v>67.59497431862509</v>
      </c>
      <c r="H34" s="48">
        <f t="shared" si="2"/>
        <v>2420.9000000000124</v>
      </c>
      <c r="I34" s="48">
        <f t="shared" si="1"/>
        <v>11779.000000000007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1918.5</v>
      </c>
      <c r="C36" s="47">
        <v>3384.4</v>
      </c>
      <c r="D36" s="48">
        <f>10.5+61.2+112+1.1+10.5+29.3+0.6+6.8+9.7+3.4+19.2+41.9-0.2+31.7+187.3+26+0.6+2.4+24.9+11.7+8.1+0.1+179+19+1+1.3+0.4+1.8+4.5+241.4+76.8+24.3+5.1+0.7+0.9+17.4+1.9+1.5+0.3+21.8+2.3+2+18.1+0.3+0.3+0.1+3+3.8+0.3+2+1.3+8.7-0.1+0.3+1.1+0.2+0.6+0.2+4.1+1+0.7+4.7+0.4+0.3+0.2+1+0.1+1.5+0.1+1.7+6.6+0.5+2.2+3.8</f>
        <v>1271.2999999999995</v>
      </c>
      <c r="E36" s="1">
        <f>D36/D33*100</f>
        <v>3.8347611003860993</v>
      </c>
      <c r="F36" s="1">
        <f t="shared" si="3"/>
        <v>66.2653114412301</v>
      </c>
      <c r="G36" s="1">
        <f t="shared" si="0"/>
        <v>37.56352676988534</v>
      </c>
      <c r="H36" s="48">
        <f t="shared" si="2"/>
        <v>647.2000000000005</v>
      </c>
      <c r="I36" s="48">
        <f t="shared" si="1"/>
        <v>2113.1000000000004</v>
      </c>
    </row>
    <row r="37" spans="1:9" s="41" customFormat="1" ht="18.75">
      <c r="A37" s="20" t="s">
        <v>7</v>
      </c>
      <c r="B37" s="55">
        <v>824.4</v>
      </c>
      <c r="C37" s="56">
        <v>929.3</v>
      </c>
      <c r="D37" s="57">
        <f>11.2+19.5+15.2+5+5.7-0.1+1.9+5.1+7+0.3+7.7+25.8+82+15.4+14.3+13.2+14.4+42.6+0.1+37.6+3+2.6+0.8+1.6+3.9+98.6+0.5+15.5</f>
        <v>450.4000000000001</v>
      </c>
      <c r="E37" s="17">
        <f>D37/D33*100</f>
        <v>1.358590733590734</v>
      </c>
      <c r="F37" s="17">
        <f t="shared" si="3"/>
        <v>54.633672974284345</v>
      </c>
      <c r="G37" s="17">
        <f t="shared" si="0"/>
        <v>48.466587754223625</v>
      </c>
      <c r="H37" s="57">
        <f t="shared" si="2"/>
        <v>373.9999999999999</v>
      </c>
      <c r="I37" s="57">
        <f t="shared" si="1"/>
        <v>478.89999999999986</v>
      </c>
    </row>
    <row r="38" spans="1:9" ht="18">
      <c r="A38" s="26" t="s">
        <v>15</v>
      </c>
      <c r="B38" s="46">
        <v>25.5</v>
      </c>
      <c r="C38" s="47">
        <v>60.8</v>
      </c>
      <c r="D38" s="47">
        <f>5.1+5.1+5.1+5.1+5.1</f>
        <v>25.5</v>
      </c>
      <c r="E38" s="1">
        <f>D38/D33*100</f>
        <v>0.0769184362934363</v>
      </c>
      <c r="F38" s="1">
        <f t="shared" si="3"/>
        <v>100</v>
      </c>
      <c r="G38" s="1">
        <f t="shared" si="0"/>
        <v>41.94078947368421</v>
      </c>
      <c r="H38" s="48">
        <f t="shared" si="2"/>
        <v>0</v>
      </c>
      <c r="I38" s="48">
        <f t="shared" si="1"/>
        <v>35.3</v>
      </c>
    </row>
    <row r="39" spans="1:9" ht="18.75" thickBot="1">
      <c r="A39" s="26" t="s">
        <v>34</v>
      </c>
      <c r="B39" s="46">
        <f>B33-B34-B36-B37-B35-B38</f>
        <v>7306.300000000001</v>
      </c>
      <c r="C39" s="46">
        <f>C33-C34-C36-C37-C35-C38</f>
        <v>7629.4000000000015</v>
      </c>
      <c r="D39" s="46">
        <f>D33-D34-D36-D37-D35-D38</f>
        <v>6834.500000000013</v>
      </c>
      <c r="E39" s="1">
        <f>D39/D33*100</f>
        <v>20.615649131274168</v>
      </c>
      <c r="F39" s="1">
        <f t="shared" si="3"/>
        <v>93.54255916127194</v>
      </c>
      <c r="G39" s="1">
        <f t="shared" si="0"/>
        <v>89.58109418827183</v>
      </c>
      <c r="H39" s="48">
        <f>B39-D39</f>
        <v>471.79999999998836</v>
      </c>
      <c r="I39" s="48">
        <f t="shared" si="1"/>
        <v>794.8999999999887</v>
      </c>
    </row>
    <row r="40" spans="1:9" ht="19.5" hidden="1" thickBot="1">
      <c r="A40" s="104" t="s">
        <v>82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83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84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939.9</v>
      </c>
      <c r="C43" s="50">
        <f>829.5+61+9+3+3+433</f>
        <v>1338.5</v>
      </c>
      <c r="D43" s="51">
        <f>22.2+3+5+12.1+5.3+62.1+8.7+22.7+11.7+44.1-0.1+8.7+8.3+9+2+12.1+30.9+11+14.3+28.5+0.1+1.2+34+0.6+0.1+2.3+3+1.5+17.9+19.5+82.4-0.1+0.8+8.4+18.6+22.3+0.1+13.7+8+9.3+10.6+0.7+8+22.7+7+24</f>
        <v>638.3000000000002</v>
      </c>
      <c r="E43" s="3">
        <f>D43/D150*100</f>
        <v>0.06275482781060372</v>
      </c>
      <c r="F43" s="3">
        <f>D43/B43*100</f>
        <v>67.911479944675</v>
      </c>
      <c r="G43" s="3">
        <f t="shared" si="0"/>
        <v>47.68771012327233</v>
      </c>
      <c r="H43" s="51">
        <f t="shared" si="2"/>
        <v>301.5999999999998</v>
      </c>
      <c r="I43" s="51">
        <f t="shared" si="1"/>
        <v>700.1999999999998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5680.4</v>
      </c>
      <c r="C45" s="50">
        <f>7741.6+45.3</f>
        <v>7786.900000000001</v>
      </c>
      <c r="D45" s="51">
        <f>224.1+260.8+14.4+236.4+3.2+114.6+291.3+0.1+96+241.4+13.4+0.1+331+0.7-0.1+39.8+268.9+0.5+9.3+307.6+278.3+1.8+5.2+302.3+9.3+4.6+275.3+25.3+352.3+6.4+0.1+14.8+50.6+5.2+267.1+7.9+293.7+39+18+185.4+5.5+5.1+343.4-0.1+16.4+242.5</f>
        <v>5208.9</v>
      </c>
      <c r="E45" s="3">
        <f>D45/D150*100</f>
        <v>0.5121159683262629</v>
      </c>
      <c r="F45" s="3">
        <f>D45/B45*100</f>
        <v>91.69952820223928</v>
      </c>
      <c r="G45" s="3">
        <f aca="true" t="shared" si="4" ref="G45:G76">D45/C45*100</f>
        <v>66.89311536041299</v>
      </c>
      <c r="H45" s="51">
        <f>B45-D45</f>
        <v>471.5</v>
      </c>
      <c r="I45" s="51">
        <f aca="true" t="shared" si="5" ref="I45:I77">C45-D45</f>
        <v>2578.000000000001</v>
      </c>
    </row>
    <row r="46" spans="1:9" ht="18">
      <c r="A46" s="26" t="s">
        <v>3</v>
      </c>
      <c r="B46" s="46">
        <v>5037.6</v>
      </c>
      <c r="C46" s="47">
        <v>6753.6</v>
      </c>
      <c r="D46" s="48">
        <f>224.1+258.6+235.3+288.8+241.4+328.6+224.6+306.6+239.4+298.3+269.8+13.5+346.9+45.8+263.2+291.7-0.1+38.6+180.3+343.4+215.2</f>
        <v>4654</v>
      </c>
      <c r="E46" s="1">
        <f>D46/D45*100</f>
        <v>89.3470790378007</v>
      </c>
      <c r="F46" s="1">
        <f aca="true" t="shared" si="6" ref="F46:F74">D46/B46*100</f>
        <v>92.38526282356678</v>
      </c>
      <c r="G46" s="1">
        <f t="shared" si="4"/>
        <v>68.91139540393272</v>
      </c>
      <c r="H46" s="48">
        <f aca="true" t="shared" si="7" ref="H46:H74">B46-D46</f>
        <v>383.60000000000036</v>
      </c>
      <c r="I46" s="48">
        <f t="shared" si="5"/>
        <v>2099.6000000000004</v>
      </c>
    </row>
    <row r="47" spans="1:9" ht="18">
      <c r="A47" s="26" t="s">
        <v>2</v>
      </c>
      <c r="B47" s="46">
        <v>1.1</v>
      </c>
      <c r="C47" s="47">
        <v>1.3</v>
      </c>
      <c r="D47" s="48">
        <f>0.3+0.4+0.1</f>
        <v>0.7999999999999999</v>
      </c>
      <c r="E47" s="1">
        <f>D47/D45*100</f>
        <v>0.015358329013803297</v>
      </c>
      <c r="F47" s="1">
        <f t="shared" si="6"/>
        <v>72.72727272727272</v>
      </c>
      <c r="G47" s="1">
        <f t="shared" si="4"/>
        <v>61.53846153846153</v>
      </c>
      <c r="H47" s="48">
        <f t="shared" si="7"/>
        <v>0.30000000000000016</v>
      </c>
      <c r="I47" s="48">
        <f t="shared" si="5"/>
        <v>0.5000000000000001</v>
      </c>
    </row>
    <row r="48" spans="1:9" ht="18">
      <c r="A48" s="26" t="s">
        <v>1</v>
      </c>
      <c r="B48" s="46">
        <v>39.2</v>
      </c>
      <c r="C48" s="47">
        <v>70.7</v>
      </c>
      <c r="D48" s="48">
        <f>0.2+2.1+0.1+6.5+6.7-0.1+7+4.6+1.6+2+4.6</f>
        <v>35.300000000000004</v>
      </c>
      <c r="E48" s="1">
        <f>D48/D45*100</f>
        <v>0.6776862677340707</v>
      </c>
      <c r="F48" s="1">
        <f t="shared" si="6"/>
        <v>90.05102040816327</v>
      </c>
      <c r="G48" s="1">
        <f t="shared" si="4"/>
        <v>49.92927864214993</v>
      </c>
      <c r="H48" s="48">
        <f t="shared" si="7"/>
        <v>3.8999999999999986</v>
      </c>
      <c r="I48" s="48">
        <f t="shared" si="5"/>
        <v>35.4</v>
      </c>
    </row>
    <row r="49" spans="1:9" ht="18">
      <c r="A49" s="26" t="s">
        <v>0</v>
      </c>
      <c r="B49" s="46">
        <v>337.1</v>
      </c>
      <c r="C49" s="47">
        <f>568.5+40.5</f>
        <v>609</v>
      </c>
      <c r="D49" s="48">
        <f>2.2+2.5+0.8+112.4+2.2+0.1+69.1+4.4-0.1+35.2+27.4+4.8+1+22.3+2.5+1.6+0.6+4.2-0.1+0.5+5.1+0.3+0.5+1.6+0.3</f>
        <v>301.4000000000001</v>
      </c>
      <c r="E49" s="1">
        <f>D49/D45*100</f>
        <v>5.786250455950395</v>
      </c>
      <c r="F49" s="1">
        <f t="shared" si="6"/>
        <v>89.40967072085436</v>
      </c>
      <c r="G49" s="1">
        <f t="shared" si="4"/>
        <v>49.49096880131364</v>
      </c>
      <c r="H49" s="48">
        <f t="shared" si="7"/>
        <v>35.69999999999993</v>
      </c>
      <c r="I49" s="48">
        <f t="shared" si="5"/>
        <v>307.5999999999999</v>
      </c>
    </row>
    <row r="50" spans="1:9" ht="18.75" thickBot="1">
      <c r="A50" s="26" t="s">
        <v>34</v>
      </c>
      <c r="B50" s="47">
        <f>B45-B46-B49-B48-B47</f>
        <v>265.39999999999924</v>
      </c>
      <c r="C50" s="47">
        <f>C45-C46-C49-C48-C47</f>
        <v>352.3000000000002</v>
      </c>
      <c r="D50" s="47">
        <f>D45-D46-D49-D48-D47</f>
        <v>217.39999999999952</v>
      </c>
      <c r="E50" s="1">
        <f>D50/D45*100</f>
        <v>4.1736259095010375</v>
      </c>
      <c r="F50" s="1">
        <f t="shared" si="6"/>
        <v>81.91409193669938</v>
      </c>
      <c r="G50" s="1">
        <f t="shared" si="4"/>
        <v>61.70877093386302</v>
      </c>
      <c r="H50" s="48">
        <f t="shared" si="7"/>
        <v>47.999999999999716</v>
      </c>
      <c r="I50" s="48">
        <f t="shared" si="5"/>
        <v>134.90000000000066</v>
      </c>
    </row>
    <row r="51" spans="1:9" ht="18.75" thickBot="1">
      <c r="A51" s="25" t="s">
        <v>4</v>
      </c>
      <c r="B51" s="49">
        <v>12847.3</v>
      </c>
      <c r="C51" s="50">
        <f>16075.7+36.8+200+828.6</f>
        <v>17141.1</v>
      </c>
      <c r="D51" s="51">
        <f>8+294.9+37.1+10.7+29.1+464+10.3+76.6+3.8+16.5+359.8+101.4+28.4+17.4+423.7+90.6+34.9+37+0.1+9.1+9.3+297.9+22+64.6+70.7+6+66.1+10+1+492.9+75.6+12.9+0.1+89.4+151.6+362.5+3.6+52.3+5.5+47.6+477.8+131.7+10.9+138.5+313.4+75.2+80.2+4.9+57.7+92.3+667.1+12.7+3.5+40+122.9+42.7+443+56.4+3.7+3.4+5.5+866.9+90.5-0.1+0.5+13.2+568.7+43.8+0.1+3.6+6.8+11.8+1+498.5-0.1+7+169.4+132.8+32.5+33.2+426.2-0.1+3.9+0.6+340.5+72.9+24.9</f>
        <v>10027.499999999995</v>
      </c>
      <c r="E51" s="3">
        <f>D51/D150*100</f>
        <v>0.9858593699997311</v>
      </c>
      <c r="F51" s="3">
        <f>D51/B51*100</f>
        <v>78.05141936438002</v>
      </c>
      <c r="G51" s="3">
        <f t="shared" si="4"/>
        <v>58.499746223987934</v>
      </c>
      <c r="H51" s="51">
        <f>B51-D51</f>
        <v>2819.8000000000047</v>
      </c>
      <c r="I51" s="51">
        <f t="shared" si="5"/>
        <v>7113.600000000004</v>
      </c>
    </row>
    <row r="52" spans="1:9" ht="18">
      <c r="A52" s="26" t="s">
        <v>3</v>
      </c>
      <c r="B52" s="46">
        <v>7647.2</v>
      </c>
      <c r="C52" s="47">
        <v>10328.7</v>
      </c>
      <c r="D52" s="48">
        <f>8+294.9+437.7+298.5+423.7+297.9+451.2+294.5+446+301+554.2+412+820.4+487.4+393.4+0.1+169.4+354.3-0.1+300.5</f>
        <v>6744.999999999998</v>
      </c>
      <c r="E52" s="1">
        <f>D52/D51*100</f>
        <v>67.26502119172278</v>
      </c>
      <c r="F52" s="1">
        <f t="shared" si="6"/>
        <v>88.20221780520973</v>
      </c>
      <c r="G52" s="1">
        <f t="shared" si="4"/>
        <v>65.30347478385468</v>
      </c>
      <c r="H52" s="48">
        <f t="shared" si="7"/>
        <v>902.2000000000016</v>
      </c>
      <c r="I52" s="48">
        <f t="shared" si="5"/>
        <v>3583.7000000000025</v>
      </c>
    </row>
    <row r="53" spans="1:9" ht="18">
      <c r="A53" s="26" t="s">
        <v>2</v>
      </c>
      <c r="B53" s="46">
        <v>3</v>
      </c>
      <c r="C53" s="47">
        <v>12</v>
      </c>
      <c r="D53" s="48"/>
      <c r="E53" s="1">
        <f>D53/D51*100</f>
        <v>0</v>
      </c>
      <c r="F53" s="111">
        <f t="shared" si="6"/>
        <v>0</v>
      </c>
      <c r="G53" s="1">
        <f t="shared" si="4"/>
        <v>0</v>
      </c>
      <c r="H53" s="48">
        <f t="shared" si="7"/>
        <v>3</v>
      </c>
      <c r="I53" s="48">
        <f t="shared" si="5"/>
        <v>12</v>
      </c>
    </row>
    <row r="54" spans="1:9" ht="18">
      <c r="A54" s="26" t="s">
        <v>1</v>
      </c>
      <c r="B54" s="46">
        <v>211.3</v>
      </c>
      <c r="C54" s="47">
        <v>287</v>
      </c>
      <c r="D54" s="48">
        <f>1.3+0.7+2.1+1+1.3+7.6+7.5+6.3+0.4+13+20.7+0.5+5.3+9.4+10+8.9+5.1+7.2+1-0.1+17.9+7.1+3.8+1.6+1.9+6.6+0.6</f>
        <v>148.70000000000002</v>
      </c>
      <c r="E54" s="1">
        <f>D54/D51*100</f>
        <v>1.4829219645973584</v>
      </c>
      <c r="F54" s="1">
        <f t="shared" si="6"/>
        <v>70.37387600567914</v>
      </c>
      <c r="G54" s="1">
        <f t="shared" si="4"/>
        <v>51.81184668989548</v>
      </c>
      <c r="H54" s="48">
        <f t="shared" si="7"/>
        <v>62.599999999999994</v>
      </c>
      <c r="I54" s="48">
        <f t="shared" si="5"/>
        <v>138.29999999999998</v>
      </c>
    </row>
    <row r="55" spans="1:9" ht="18">
      <c r="A55" s="26" t="s">
        <v>0</v>
      </c>
      <c r="B55" s="46">
        <v>613.8</v>
      </c>
      <c r="C55" s="47">
        <v>933.1</v>
      </c>
      <c r="D55" s="48">
        <f>10.7+0.6+7.6+85.1+28.4+14.4+0.1+8.5+0.1+7+0.1+7.7+62.8+6+1.3+0.9+0.9+1+0.7+0.1+4.7+15.2+34.9+9+4+15.8+5.5+7+1.9+1.5+0.1+2.4+1.8+3.7+1.3+4.5+2.3+0.7+0.1+1.8+6.8+1.6+0.7+0.5+1.1+12.5+0.8+0.8+0.7</f>
        <v>387.70000000000005</v>
      </c>
      <c r="E55" s="1">
        <f>D55/D51*100</f>
        <v>3.866367489404141</v>
      </c>
      <c r="F55" s="1">
        <f t="shared" si="6"/>
        <v>63.16389703486479</v>
      </c>
      <c r="G55" s="1">
        <f t="shared" si="4"/>
        <v>41.54967313256886</v>
      </c>
      <c r="H55" s="48">
        <f t="shared" si="7"/>
        <v>226.0999999999999</v>
      </c>
      <c r="I55" s="48">
        <f t="shared" si="5"/>
        <v>545.4</v>
      </c>
    </row>
    <row r="56" spans="1:9" ht="18">
      <c r="A56" s="26" t="s">
        <v>15</v>
      </c>
      <c r="B56" s="46">
        <v>200</v>
      </c>
      <c r="C56" s="47">
        <v>200</v>
      </c>
      <c r="D56" s="47">
        <f>40+40+40+40</f>
        <v>160</v>
      </c>
      <c r="E56" s="1">
        <f>D56/D51*100</f>
        <v>1.5956120668162561</v>
      </c>
      <c r="F56" s="1">
        <f>D56/B56*100</f>
        <v>80</v>
      </c>
      <c r="G56" s="1">
        <f>D56/C56*100</f>
        <v>80</v>
      </c>
      <c r="H56" s="48">
        <f t="shared" si="7"/>
        <v>40</v>
      </c>
      <c r="I56" s="48">
        <f t="shared" si="5"/>
        <v>40</v>
      </c>
    </row>
    <row r="57" spans="1:9" ht="18.75" thickBot="1">
      <c r="A57" s="26" t="s">
        <v>34</v>
      </c>
      <c r="B57" s="47">
        <f>B51-B52-B55-B54-B53-B56</f>
        <v>4171.999999999999</v>
      </c>
      <c r="C57" s="47">
        <f>C51-C52-C55-C54-C53-C56</f>
        <v>5380.299999999997</v>
      </c>
      <c r="D57" s="47">
        <f>D51-D52-D55-D54-D53-D56</f>
        <v>2586.0999999999967</v>
      </c>
      <c r="E57" s="1">
        <f>D57/D51*100</f>
        <v>25.790077287459468</v>
      </c>
      <c r="F57" s="1">
        <f t="shared" si="6"/>
        <v>61.98705656759341</v>
      </c>
      <c r="G57" s="1">
        <f t="shared" si="4"/>
        <v>48.06609296879352</v>
      </c>
      <c r="H57" s="48">
        <f>B57-D57</f>
        <v>1585.9000000000024</v>
      </c>
      <c r="I57" s="48">
        <f>C57-D57</f>
        <v>2794.2000000000007</v>
      </c>
    </row>
    <row r="58" spans="1:9" s="41" customFormat="1" ht="19.5" hidden="1" thickBot="1">
      <c r="A58" s="104" t="s">
        <v>81</v>
      </c>
      <c r="B58" s="102"/>
      <c r="C58" s="102"/>
      <c r="D58" s="102"/>
      <c r="E58" s="1"/>
      <c r="F58" s="103" t="e">
        <f t="shared" si="6"/>
        <v>#DIV/0!</v>
      </c>
      <c r="G58" s="103" t="e">
        <f t="shared" si="4"/>
        <v>#DIV/0!</v>
      </c>
      <c r="H58" s="113">
        <f t="shared" si="7"/>
        <v>0</v>
      </c>
      <c r="I58" s="113">
        <f>C58-D58</f>
        <v>0</v>
      </c>
    </row>
    <row r="59" spans="1:9" ht="18.75" thickBot="1">
      <c r="A59" s="25" t="s">
        <v>6</v>
      </c>
      <c r="B59" s="49">
        <v>5427</v>
      </c>
      <c r="C59" s="50">
        <f>5881.8+134.4+115.2</f>
        <v>6131.4</v>
      </c>
      <c r="D59" s="51">
        <f>43.5+4.7+72.8+47.2+46+5+62.5+3.8+40.9+35.3+2.1+2.9+21.1+3.9+86.8+0.2+2.7+44.1+47.3+140.1+0.1+45.6+13.8+0.9+95.5-0.1+6.7+60.6+0.7+0.5+92.7+2.8+4+111.8+66.3+34+5.8+77.7+2.3+68.7+75.6+2+307.4+46.6+2.4+84.1+735+554.7+36.1+0.4</f>
        <v>3247.5999999999995</v>
      </c>
      <c r="E59" s="3">
        <f>D59/D150*100</f>
        <v>0.319289642484281</v>
      </c>
      <c r="F59" s="3">
        <f>D59/B59*100</f>
        <v>59.841533075363905</v>
      </c>
      <c r="G59" s="3">
        <f t="shared" si="4"/>
        <v>52.96669602374661</v>
      </c>
      <c r="H59" s="51">
        <f>B59-D59</f>
        <v>2179.4000000000005</v>
      </c>
      <c r="I59" s="51">
        <f t="shared" si="5"/>
        <v>2883.8</v>
      </c>
    </row>
    <row r="60" spans="1:9" ht="18">
      <c r="A60" s="26" t="s">
        <v>3</v>
      </c>
      <c r="B60" s="46">
        <v>1249.5</v>
      </c>
      <c r="C60" s="47">
        <f>1508.2+134.4</f>
        <v>1642.6000000000001</v>
      </c>
      <c r="D60" s="48">
        <f>43.5+72.8+47.2+62.5+0.1+35.3+86.8+44.1+125.7+41.4+92.3+60.6+92.7+66.3+68.7-0.1+2+54.7+84.1+36.1</f>
        <v>1116.8</v>
      </c>
      <c r="E60" s="1">
        <f>D60/D59*100</f>
        <v>34.38847148663629</v>
      </c>
      <c r="F60" s="1">
        <f t="shared" si="6"/>
        <v>89.3797519007603</v>
      </c>
      <c r="G60" s="1">
        <f t="shared" si="4"/>
        <v>67.989772312188</v>
      </c>
      <c r="H60" s="48">
        <f t="shared" si="7"/>
        <v>132.70000000000005</v>
      </c>
      <c r="I60" s="48">
        <f t="shared" si="5"/>
        <v>525.8000000000002</v>
      </c>
    </row>
    <row r="61" spans="1:9" ht="18">
      <c r="A61" s="26" t="s">
        <v>1</v>
      </c>
      <c r="B61" s="46">
        <v>331.8</v>
      </c>
      <c r="C61" s="47">
        <v>331.8</v>
      </c>
      <c r="D61" s="48">
        <f>111.8+77.7+75.6+46.6</f>
        <v>311.70000000000005</v>
      </c>
      <c r="E61" s="1">
        <f>D61/D59*100</f>
        <v>9.59785687892598</v>
      </c>
      <c r="F61" s="1">
        <f>D61/B61*100</f>
        <v>93.94213381555154</v>
      </c>
      <c r="G61" s="1">
        <f t="shared" si="4"/>
        <v>93.94213381555154</v>
      </c>
      <c r="H61" s="48">
        <f t="shared" si="7"/>
        <v>20.099999999999966</v>
      </c>
      <c r="I61" s="48">
        <f t="shared" si="5"/>
        <v>20.099999999999966</v>
      </c>
    </row>
    <row r="62" spans="1:9" ht="18">
      <c r="A62" s="26" t="s">
        <v>0</v>
      </c>
      <c r="B62" s="46">
        <v>377.3</v>
      </c>
      <c r="C62" s="47">
        <v>627.5</v>
      </c>
      <c r="D62" s="48">
        <f>4.7+45.7+4.9+40.9+19.8+3.9+46.3+9+12.6+0.9+3+0.3+2.8+0.3+0.1+2.2+0.3+2.2+0.3</f>
        <v>200.20000000000002</v>
      </c>
      <c r="E62" s="1">
        <f>D62/D59*100</f>
        <v>6.164552284764135</v>
      </c>
      <c r="F62" s="1">
        <f t="shared" si="6"/>
        <v>53.06122448979592</v>
      </c>
      <c r="G62" s="1">
        <f t="shared" si="4"/>
        <v>31.904382470119526</v>
      </c>
      <c r="H62" s="48">
        <f t="shared" si="7"/>
        <v>177.1</v>
      </c>
      <c r="I62" s="48">
        <f t="shared" si="5"/>
        <v>427.29999999999995</v>
      </c>
    </row>
    <row r="63" spans="1:9" ht="18">
      <c r="A63" s="26" t="s">
        <v>15</v>
      </c>
      <c r="B63" s="46">
        <f>3216.2+115.2</f>
        <v>3331.3999999999996</v>
      </c>
      <c r="C63" s="47">
        <f>3216.2+115.2</f>
        <v>3331.3999999999996</v>
      </c>
      <c r="D63" s="48">
        <f>252+735+554.4</f>
        <v>1541.4</v>
      </c>
      <c r="E63" s="1">
        <f>D63/D59*100</f>
        <v>47.462741716960224</v>
      </c>
      <c r="F63" s="1">
        <f t="shared" si="6"/>
        <v>46.26883592483642</v>
      </c>
      <c r="G63" s="1">
        <f t="shared" si="4"/>
        <v>46.26883592483642</v>
      </c>
      <c r="H63" s="48">
        <f t="shared" si="7"/>
        <v>1789.9999999999995</v>
      </c>
      <c r="I63" s="48">
        <f t="shared" si="5"/>
        <v>1789.9999999999995</v>
      </c>
    </row>
    <row r="64" spans="1:9" ht="18.75" thickBot="1">
      <c r="A64" s="26" t="s">
        <v>34</v>
      </c>
      <c r="B64" s="47">
        <f>B59-B60-B62-B63-B61</f>
        <v>137.00000000000017</v>
      </c>
      <c r="C64" s="47">
        <f>C59-C60-C62-C63-C61</f>
        <v>198.09999999999962</v>
      </c>
      <c r="D64" s="47">
        <f>D59-D60-D62-D63-D61</f>
        <v>77.49999999999909</v>
      </c>
      <c r="E64" s="1">
        <f>D64/D59*100</f>
        <v>2.386377632713361</v>
      </c>
      <c r="F64" s="1">
        <f t="shared" si="6"/>
        <v>56.5693430656927</v>
      </c>
      <c r="G64" s="1">
        <f t="shared" si="4"/>
        <v>39.12165572942919</v>
      </c>
      <c r="H64" s="48">
        <f t="shared" si="7"/>
        <v>59.50000000000108</v>
      </c>
      <c r="I64" s="48">
        <f t="shared" si="5"/>
        <v>120.60000000000053</v>
      </c>
    </row>
    <row r="65" spans="1:9" s="41" customFormat="1" ht="19.5" hidden="1" thickBot="1">
      <c r="A65" s="104" t="s">
        <v>92</v>
      </c>
      <c r="B65" s="102"/>
      <c r="C65" s="102"/>
      <c r="D65" s="102"/>
      <c r="E65" s="103"/>
      <c r="F65" s="103" t="e">
        <f>D65/B65*100</f>
        <v>#DIV/0!</v>
      </c>
      <c r="G65" s="103" t="e">
        <f>D65/C65*100</f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78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79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s="41" customFormat="1" ht="19.5" hidden="1" thickBot="1">
      <c r="A68" s="104" t="s">
        <v>80</v>
      </c>
      <c r="B68" s="102"/>
      <c r="C68" s="102"/>
      <c r="D68" s="102"/>
      <c r="E68" s="103"/>
      <c r="F68" s="103" t="e">
        <f t="shared" si="6"/>
        <v>#DIV/0!</v>
      </c>
      <c r="G68" s="103" t="e">
        <f t="shared" si="4"/>
        <v>#DIV/0!</v>
      </c>
      <c r="H68" s="113">
        <f t="shared" si="7"/>
        <v>0</v>
      </c>
      <c r="I68" s="113">
        <f t="shared" si="5"/>
        <v>0</v>
      </c>
    </row>
    <row r="69" spans="1:9" ht="18.75" thickBot="1">
      <c r="A69" s="25" t="s">
        <v>24</v>
      </c>
      <c r="B69" s="50">
        <f>B70+B71</f>
        <v>248.10000000000002</v>
      </c>
      <c r="C69" s="50">
        <f>C70+C71</f>
        <v>369.7</v>
      </c>
      <c r="D69" s="51">
        <f>SUM(D70:D71)</f>
        <v>179.5</v>
      </c>
      <c r="E69" s="39">
        <f>D69/D150*100</f>
        <v>0.017647644668656377</v>
      </c>
      <c r="F69" s="3">
        <f>D69/B69*100</f>
        <v>72.34985892785166</v>
      </c>
      <c r="G69" s="3">
        <f t="shared" si="4"/>
        <v>48.55288071409251</v>
      </c>
      <c r="H69" s="51">
        <f>B69-D69</f>
        <v>68.60000000000002</v>
      </c>
      <c r="I69" s="51">
        <f t="shared" si="5"/>
        <v>190.2</v>
      </c>
    </row>
    <row r="70" spans="1:9" ht="18">
      <c r="A70" s="26" t="s">
        <v>8</v>
      </c>
      <c r="B70" s="46">
        <v>170.9</v>
      </c>
      <c r="C70" s="47">
        <v>171</v>
      </c>
      <c r="D70" s="48">
        <f>3.9+1+3+8.8+1.5+9.8+5+38.4+18.8+12.7+1+25.4+6+5+25.1+4.5</f>
        <v>169.9</v>
      </c>
      <c r="E70" s="1">
        <f>D70/D69*100</f>
        <v>94.65181058495821</v>
      </c>
      <c r="F70" s="1">
        <f t="shared" si="6"/>
        <v>99.41486249268578</v>
      </c>
      <c r="G70" s="1">
        <f t="shared" si="4"/>
        <v>99.35672514619883</v>
      </c>
      <c r="H70" s="48">
        <f t="shared" si="7"/>
        <v>1</v>
      </c>
      <c r="I70" s="48">
        <f t="shared" si="5"/>
        <v>1.0999999999999943</v>
      </c>
    </row>
    <row r="71" spans="1:9" ht="18.75" thickBot="1">
      <c r="A71" s="26" t="s">
        <v>9</v>
      </c>
      <c r="B71" s="46">
        <v>77.2</v>
      </c>
      <c r="C71" s="47">
        <f>253.4-6+145-41+16.1-168.8</f>
        <v>198.7</v>
      </c>
      <c r="D71" s="48">
        <f>9.6</f>
        <v>9.6</v>
      </c>
      <c r="E71" s="1">
        <f>D71/D70*100</f>
        <v>5.650382577987051</v>
      </c>
      <c r="F71" s="1">
        <f t="shared" si="6"/>
        <v>12.435233160621761</v>
      </c>
      <c r="G71" s="1">
        <f t="shared" si="4"/>
        <v>4.831404126824358</v>
      </c>
      <c r="H71" s="48">
        <f t="shared" si="7"/>
        <v>67.60000000000001</v>
      </c>
      <c r="I71" s="48">
        <f t="shared" si="5"/>
        <v>189.1</v>
      </c>
    </row>
    <row r="72" spans="1:9" ht="38.25" hidden="1" thickBot="1">
      <c r="A72" s="13" t="s">
        <v>50</v>
      </c>
      <c r="B72" s="58"/>
      <c r="C72" s="50">
        <f>C73+C74+C75+C76</f>
        <v>0</v>
      </c>
      <c r="D72" s="50">
        <f>D73+D74+D75+D76</f>
        <v>0</v>
      </c>
      <c r="E72" s="3">
        <f>D72/D150*100</f>
        <v>0</v>
      </c>
      <c r="F72" s="3" t="e">
        <f>D72/B72*100</f>
        <v>#DIV/0!</v>
      </c>
      <c r="G72" s="3" t="e">
        <f t="shared" si="4"/>
        <v>#DIV/0!</v>
      </c>
      <c r="H72" s="51">
        <f>B72-D72</f>
        <v>0</v>
      </c>
      <c r="I72" s="51">
        <f t="shared" si="5"/>
        <v>0</v>
      </c>
    </row>
    <row r="73" spans="1:9" ht="18.75" hidden="1">
      <c r="A73" s="20" t="s">
        <v>55</v>
      </c>
      <c r="B73" s="55"/>
      <c r="C73" s="62"/>
      <c r="D73" s="53"/>
      <c r="E73" s="34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0" t="s">
        <v>56</v>
      </c>
      <c r="B74" s="55"/>
      <c r="C74" s="62"/>
      <c r="D74" s="53"/>
      <c r="E74" s="34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8">
        <f t="shared" si="7"/>
        <v>0</v>
      </c>
      <c r="I74" s="48">
        <f t="shared" si="5"/>
        <v>0</v>
      </c>
    </row>
    <row r="75" spans="1:9" ht="18.75" hidden="1">
      <c r="A75" s="27" t="s">
        <v>41</v>
      </c>
      <c r="B75" s="63"/>
      <c r="C75" s="64"/>
      <c r="D75" s="65"/>
      <c r="E75" s="34" t="e">
        <f>D75/D72*100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ht="19.5" hidden="1" thickBot="1">
      <c r="A76" s="27" t="s">
        <v>51</v>
      </c>
      <c r="B76" s="63"/>
      <c r="C76" s="64"/>
      <c r="D76" s="65"/>
      <c r="E76" s="34" t="e">
        <f>D76/D72*100</f>
        <v>#DIV/0!</v>
      </c>
      <c r="F76" s="34"/>
      <c r="G76" s="1" t="e">
        <f t="shared" si="4"/>
        <v>#DIV/0!</v>
      </c>
      <c r="H76" s="48"/>
      <c r="I76" s="48">
        <f t="shared" si="5"/>
        <v>0</v>
      </c>
    </row>
    <row r="77" spans="1:9" s="41" customFormat="1" ht="19.5" thickBot="1">
      <c r="A77" s="28" t="s">
        <v>14</v>
      </c>
      <c r="B77" s="59">
        <v>818.5</v>
      </c>
      <c r="C77" s="66">
        <f>10000-8192+3069.6</f>
        <v>4877.6</v>
      </c>
      <c r="D77" s="67"/>
      <c r="E77" s="45"/>
      <c r="F77" s="45"/>
      <c r="G77" s="45"/>
      <c r="H77" s="67">
        <f>B77-D77</f>
        <v>818.5</v>
      </c>
      <c r="I77" s="67">
        <f t="shared" si="5"/>
        <v>4877.6</v>
      </c>
    </row>
    <row r="78" spans="1:9" ht="8.25" customHeight="1" thickBot="1">
      <c r="A78" s="20"/>
      <c r="B78" s="55"/>
      <c r="C78" s="64"/>
      <c r="D78" s="65"/>
      <c r="E78" s="6"/>
      <c r="F78" s="6"/>
      <c r="G78" s="6"/>
      <c r="H78" s="65"/>
      <c r="I78" s="129"/>
    </row>
    <row r="79" spans="1:9" ht="18.75" customHeight="1" hidden="1" thickBot="1">
      <c r="A79" s="13" t="s">
        <v>72</v>
      </c>
      <c r="B79" s="58"/>
      <c r="C79" s="50">
        <f>C80+C81</f>
        <v>0</v>
      </c>
      <c r="D79" s="50">
        <f>D80+D81</f>
        <v>0</v>
      </c>
      <c r="E79" s="3">
        <f>D79/D150*100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51">
        <f>B79-D79</f>
        <v>0</v>
      </c>
      <c r="I79" s="51">
        <f aca="true" t="shared" si="9" ref="I79:I93">C79-D79</f>
        <v>0</v>
      </c>
    </row>
    <row r="80" spans="1:9" s="8" customFormat="1" ht="18.75" hidden="1" thickBot="1">
      <c r="A80" s="9" t="s">
        <v>71</v>
      </c>
      <c r="B80" s="68"/>
      <c r="C80" s="47">
        <f>50-50</f>
        <v>0</v>
      </c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31.5" hidden="1" thickBot="1">
      <c r="A81" s="9" t="s">
        <v>66</v>
      </c>
      <c r="B81" s="68"/>
      <c r="C81" s="47"/>
      <c r="D81" s="48"/>
      <c r="E81" s="101"/>
      <c r="F81" s="1" t="e">
        <f>D81/B81*100</f>
        <v>#DIV/0!</v>
      </c>
      <c r="G81" s="1" t="e">
        <f t="shared" si="8"/>
        <v>#DIV/0!</v>
      </c>
      <c r="H81" s="48">
        <f>B81-D81</f>
        <v>0</v>
      </c>
      <c r="I81" s="48">
        <f t="shared" si="9"/>
        <v>0</v>
      </c>
    </row>
    <row r="82" spans="1:9" s="8" customFormat="1" ht="16.5" customHeight="1" hidden="1">
      <c r="A82" s="9" t="s">
        <v>40</v>
      </c>
      <c r="B82" s="68"/>
      <c r="C82" s="47"/>
      <c r="D82" s="48"/>
      <c r="E82" s="1" t="e">
        <f>D82/D79*100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s="8" customFormat="1" ht="33" customHeight="1" hidden="1" thickBot="1">
      <c r="A83" s="9" t="s">
        <v>47</v>
      </c>
      <c r="B83" s="68"/>
      <c r="C83" s="47"/>
      <c r="D83" s="47"/>
      <c r="E83" s="1" t="e">
        <f>D83/D79*100</f>
        <v>#DIV/0!</v>
      </c>
      <c r="F83" s="1"/>
      <c r="G83" s="1" t="e">
        <f t="shared" si="8"/>
        <v>#DIV/0!</v>
      </c>
      <c r="H83" s="48"/>
      <c r="I83" s="48">
        <f t="shared" si="9"/>
        <v>0</v>
      </c>
    </row>
    <row r="84" spans="1:9" ht="35.25" customHeight="1" hidden="1" thickBot="1">
      <c r="A84" s="13" t="s">
        <v>42</v>
      </c>
      <c r="B84" s="58"/>
      <c r="C84" s="50">
        <f>C85+C86</f>
        <v>0</v>
      </c>
      <c r="D84" s="50">
        <f>D85+D86</f>
        <v>0</v>
      </c>
      <c r="E84" s="3">
        <f>D84/D150*100</f>
        <v>0</v>
      </c>
      <c r="F84" s="3"/>
      <c r="G84" s="3" t="e">
        <f t="shared" si="8"/>
        <v>#DIV/0!</v>
      </c>
      <c r="H84" s="51"/>
      <c r="I84" s="51">
        <f t="shared" si="9"/>
        <v>0</v>
      </c>
    </row>
    <row r="85" spans="1:9" ht="16.5" customHeight="1" hidden="1">
      <c r="A85" s="26" t="s">
        <v>29</v>
      </c>
      <c r="B85" s="46"/>
      <c r="C85" s="64"/>
      <c r="D85" s="64"/>
      <c r="E85" s="6" t="e">
        <f>D85/D84*100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16.5" customHeight="1" hidden="1" thickBot="1">
      <c r="A86" s="26" t="s">
        <v>30</v>
      </c>
      <c r="B86" s="46"/>
      <c r="C86" s="64"/>
      <c r="D86" s="64"/>
      <c r="E86" s="6" t="e">
        <f>D86/D84*100</f>
        <v>#DIV/0!</v>
      </c>
      <c r="F86" s="6"/>
      <c r="G86" s="6" t="e">
        <f t="shared" si="8"/>
        <v>#DIV/0!</v>
      </c>
      <c r="H86" s="65"/>
      <c r="I86" s="48">
        <f t="shared" si="9"/>
        <v>0</v>
      </c>
    </row>
    <row r="87" spans="1:9" ht="34.5" customHeight="1" hidden="1" thickBot="1">
      <c r="A87" s="13" t="s">
        <v>43</v>
      </c>
      <c r="B87" s="58"/>
      <c r="C87" s="50">
        <f>SUM(C88:C89)</f>
        <v>0</v>
      </c>
      <c r="D87" s="50">
        <f>SUM(D88:D89)</f>
        <v>0</v>
      </c>
      <c r="E87" s="3">
        <f>D87/D150*100</f>
        <v>0</v>
      </c>
      <c r="F87" s="3"/>
      <c r="G87" s="3" t="e">
        <f t="shared" si="8"/>
        <v>#DIV/0!</v>
      </c>
      <c r="H87" s="51"/>
      <c r="I87" s="51">
        <f t="shared" si="9"/>
        <v>0</v>
      </c>
    </row>
    <row r="88" spans="1:9" ht="17.25" customHeight="1" hidden="1">
      <c r="A88" s="26" t="s">
        <v>29</v>
      </c>
      <c r="B88" s="46"/>
      <c r="C88" s="47"/>
      <c r="D88" s="48"/>
      <c r="E88" s="1" t="e">
        <f>D88/D87*100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7.25" customHeight="1" hidden="1" thickBot="1">
      <c r="A89" s="26" t="s">
        <v>30</v>
      </c>
      <c r="B89" s="46"/>
      <c r="C89" s="47"/>
      <c r="D89" s="48"/>
      <c r="E89" s="1" t="e">
        <f>D89/D87*100</f>
        <v>#DIV/0!</v>
      </c>
      <c r="F89" s="1"/>
      <c r="G89" s="1" t="e">
        <f t="shared" si="8"/>
        <v>#DIV/0!</v>
      </c>
      <c r="H89" s="48"/>
      <c r="I89" s="48">
        <f t="shared" si="9"/>
        <v>0</v>
      </c>
    </row>
    <row r="90" spans="1:9" ht="19.5" thickBot="1">
      <c r="A90" s="13" t="s">
        <v>10</v>
      </c>
      <c r="B90" s="58">
        <v>45963.3</v>
      </c>
      <c r="C90" s="50">
        <f>50201.5+5861+2853.8+11.8-0.1+368.5</f>
        <v>59296.50000000001</v>
      </c>
      <c r="D90" s="51">
        <f>504.1+603.6+0.4+13.4+0.4+2.2+9.9+1.1+305.4+663.4+712.7+3.4+59.2+17.1+69.2+0.3+0.1+65+384.8+526.3+246.2+20.6+24.1+37.5+50.9+14.3+10.2+5.2+1502.8+556.3+715.7+52.4-0.2+96.1+234.6+88.5+23.1+1.9+3.2+309.4+1005.9+308.4+76.4+99.1+22.5+5.7+16.3+42.4+253.7+364.6+683.2+573.3+2059.7+6.4+0.2+30.3+12.6+50.2+8.7+6.5+23.7+258.2+1104.1+217+47.2+38.7+94.2+137.4+5.9+28.3+414.8+801.1+1202.4+4.8+18.6+107.2+4+9.2+402.1+1080.5+48.3+35.5+8+23.7+26.9+18.2+6.8+78.9+201.6+1354.3+1492.6+499.4+1+1.7+178.2+25.5+182.3+5.6+37+9.9+0.6+1194.6+523+14.6+26.2+11.2+35+108.3+22.7+1259.6+364.2+910.7+0.1+62.6+74.1+335.3+57.9+3.2+16.1+45.5+127.9+241.6+813.9+349.3+10.7+91.6+15.8+3.9+28.2+5.5+480.3+911.5+1173.2+22.1+24+92.6+21.3+38.1+215.3+162.2+457.8+900.2+167.7+3.4+5.9+41.7+11.1+18.2+49.7+33.7+1.6+11.6+1418.6+962.9-0.2+22.9+173.2+20.8+50.1+73.8+9.3+157.2+630.6+619.8+16.8+19.4</f>
        <v>39567.99999999999</v>
      </c>
      <c r="E90" s="3">
        <f>D90/D150*100</f>
        <v>3.89015044150081</v>
      </c>
      <c r="F90" s="3">
        <f aca="true" t="shared" si="10" ref="F90:F96">D90/B90*100</f>
        <v>86.0860730191261</v>
      </c>
      <c r="G90" s="3">
        <f t="shared" si="8"/>
        <v>66.72906495324342</v>
      </c>
      <c r="H90" s="51">
        <f aca="true" t="shared" si="11" ref="H90:H96">B90-D90</f>
        <v>6395.30000000001</v>
      </c>
      <c r="I90" s="51">
        <f t="shared" si="9"/>
        <v>19728.500000000015</v>
      </c>
    </row>
    <row r="91" spans="1:9" ht="18">
      <c r="A91" s="26" t="s">
        <v>3</v>
      </c>
      <c r="B91" s="46">
        <v>38479.7</v>
      </c>
      <c r="C91" s="47">
        <f>41785.6+5825.3+1852.2+217.6</f>
        <v>49680.7</v>
      </c>
      <c r="D91" s="48">
        <f>504.1+600.9+12.5+0.1+294.4+657+710.4+56.2+67.4+61.4+375.5+513+243.5+0.3+0.2+0.2+1502.8+529.2+582+0.1+29+142.9+14.9+1.9+241.9+972.3+146.3+19.4+5.4+12.1+245.6+356.2+677.7+532.7+2059.5-0.2+6+1.6+40.8+5.9+249.6+1081.7+177.2+15.5+10.4+2.1+2.1+390.2+763.8+1158.5+8.4+36.6+9.2+344.5+935.5+9.7+19.9+9.5+1.6+16.7+728.3+1292.1+321.1+0.8-0.2+14.8+16.9+4.9+0.8+1182.9+471.7+14.6+13+15+1250+346.4+884.6-0.1+62.6+34.5+228.2+21.5+3.2+28.5+112.4+240+809.2+334.5+15.2+12+426.3+876.6+1161.7+0.2+24+2.5+3+39.9+149.5+436.6+889.5+159.8+3.4+1417.1+921+6.3+28.3+70+9.1+128.5+614.6+569.2+16.1</f>
        <v>33878.399999999994</v>
      </c>
      <c r="E91" s="1">
        <f>D91/D90*100</f>
        <v>85.62070359886778</v>
      </c>
      <c r="F91" s="1">
        <f t="shared" si="10"/>
        <v>88.04226644178618</v>
      </c>
      <c r="G91" s="1">
        <f t="shared" si="8"/>
        <v>68.19227587372964</v>
      </c>
      <c r="H91" s="48">
        <f t="shared" si="11"/>
        <v>4601.300000000003</v>
      </c>
      <c r="I91" s="48">
        <f t="shared" si="9"/>
        <v>15802.300000000003</v>
      </c>
    </row>
    <row r="92" spans="1:9" ht="18">
      <c r="A92" s="26" t="s">
        <v>32</v>
      </c>
      <c r="B92" s="46">
        <v>1359.7</v>
      </c>
      <c r="C92" s="47">
        <f>2476+1-355.6</f>
        <v>2121.4</v>
      </c>
      <c r="D92" s="48">
        <f>9.8+96.8+35.3+50.2+1.4+30+1.1+18.1+138.1+43.8+4.2+9.3+27.5+5.8+0.2+2.4+1+11.7+14.7+34.3+26.9+2.8+30.4+0.1+10.2+1.4+0.2+22+131.7+1.9+1.6+30.8+150.2+0.9+0.6+2.2+0.6+31.6+20.6+1+0.3+3+17.7+35.6+0.9+0.3+39.3+12.6+23.9+20.8+0.8+3.9</f>
        <v>1162.4999999999998</v>
      </c>
      <c r="E92" s="1">
        <f>D92/D90*100</f>
        <v>2.937980186008896</v>
      </c>
      <c r="F92" s="1">
        <f t="shared" si="10"/>
        <v>85.49680076487458</v>
      </c>
      <c r="G92" s="1">
        <f t="shared" si="8"/>
        <v>54.79871782784952</v>
      </c>
      <c r="H92" s="48">
        <f t="shared" si="11"/>
        <v>197.20000000000027</v>
      </c>
      <c r="I92" s="48">
        <f t="shared" si="9"/>
        <v>958.9000000000003</v>
      </c>
    </row>
    <row r="93" spans="1:9" ht="18" hidden="1">
      <c r="A93" s="26" t="s">
        <v>15</v>
      </c>
      <c r="B93" s="46"/>
      <c r="C93" s="47"/>
      <c r="D93" s="47"/>
      <c r="E93" s="12">
        <f>D93/D90*100</f>
        <v>0</v>
      </c>
      <c r="F93" s="1"/>
      <c r="G93" s="1" t="e">
        <f t="shared" si="8"/>
        <v>#DIV/0!</v>
      </c>
      <c r="H93" s="48">
        <f t="shared" si="11"/>
        <v>0</v>
      </c>
      <c r="I93" s="48">
        <f t="shared" si="9"/>
        <v>0</v>
      </c>
    </row>
    <row r="94" spans="1:9" ht="18.75" thickBot="1">
      <c r="A94" s="26" t="s">
        <v>34</v>
      </c>
      <c r="B94" s="47">
        <f>B90-B91-B92-B93</f>
        <v>6123.900000000006</v>
      </c>
      <c r="C94" s="47">
        <f>C90-C91-C92-C93</f>
        <v>7494.400000000011</v>
      </c>
      <c r="D94" s="47">
        <f>D90-D91-D92-D93</f>
        <v>4527.0999999999985</v>
      </c>
      <c r="E94" s="1">
        <f>D94/D90*100</f>
        <v>11.44131621512333</v>
      </c>
      <c r="F94" s="1">
        <f t="shared" si="10"/>
        <v>73.92511308153291</v>
      </c>
      <c r="G94" s="1">
        <f>D94/C94*100</f>
        <v>60.40643680614849</v>
      </c>
      <c r="H94" s="48">
        <f t="shared" si="11"/>
        <v>1596.8000000000075</v>
      </c>
      <c r="I94" s="48">
        <f>C94-D94</f>
        <v>2967.300000000012</v>
      </c>
    </row>
    <row r="95" spans="1:9" ht="18.75">
      <c r="A95" s="116" t="s">
        <v>12</v>
      </c>
      <c r="B95" s="119">
        <f>63921.7-1200</f>
        <v>62721.7</v>
      </c>
      <c r="C95" s="121">
        <f>63500.4+11490.6+4535.2-1.1-1111.2</f>
        <v>78413.9</v>
      </c>
      <c r="D95" s="120">
        <f>3050.1+485.9+95+377.6+203.9+57.3+702.6+368.5+68.4+157.9+4015.3+212.6+788.4+894.3+61.1+517.2+111.3+0.1+1461.7+564.4+1326.7+460.8+228+635.4+59+64.9+563.2+1630.6+5816.4+942.8+71+97.9+513.3+704.9+170.4+18.5+102.6+32.3+89.3+1512.9+897.1+594.4-0.1+523.7+655.4+600.6+24.1+111.3+414.6+200.4+295.4+768.4+880.1+257.1+801.1+28.2+245.7+474.9+1704.1+476.3+96.2+437.3+38.4+663+74.5+330.4+382.7+99.8+93.4+594.6+2.5+112.3+1285.9+0.1+1867.5+413.3+956.5+69.1+5.5+134.6+324.3+938.7+8.3+10.8+982.9-85.9+334.6+150.4+67.7-127+0.2+1678.2+1087.5+79.8+4.1+78.5+165.7+871.9+383.1+10.8+20.6+626.2+52.1+71.4+30.8+590.2-0.2+1084.3+1229.3+137.2+627.6+37.3+404.5+7+105.8+10.9+68</f>
        <v>58912.50000000001</v>
      </c>
      <c r="E95" s="115">
        <f>D95/D150*100</f>
        <v>5.792015969594535</v>
      </c>
      <c r="F95" s="118">
        <f t="shared" si="10"/>
        <v>93.92682277425519</v>
      </c>
      <c r="G95" s="114">
        <f>D95/C95*100</f>
        <v>75.13017462465203</v>
      </c>
      <c r="H95" s="120">
        <f t="shared" si="11"/>
        <v>3809.19999999999</v>
      </c>
      <c r="I95" s="130">
        <f>C95-D95</f>
        <v>19501.399999999987</v>
      </c>
    </row>
    <row r="96" spans="1:9" ht="18.75" thickBot="1">
      <c r="A96" s="117" t="s">
        <v>99</v>
      </c>
      <c r="B96" s="122">
        <v>5140.1</v>
      </c>
      <c r="C96" s="123">
        <f>5343.5+287.2+2416.8+30</f>
        <v>8077.5</v>
      </c>
      <c r="D96" s="124">
        <f>57.3+368.5+61.1+0.1+320+59+0.8+309+245.5+61.2+0.4-0.1+489+12.5+64.8+24.2+437.3+329.2+2.4+382.5+3.4+31.2+13.3+8.3+121.6+67.7+362.1+4.1+31.3+64.2+20.6+78.1+394.5+37.3+0.3</f>
        <v>4462.700000000001</v>
      </c>
      <c r="E96" s="125">
        <f>D96/D95*100</f>
        <v>7.575132611924465</v>
      </c>
      <c r="F96" s="126">
        <f t="shared" si="10"/>
        <v>86.82126806871463</v>
      </c>
      <c r="G96" s="127">
        <f>D96/C96*100</f>
        <v>55.248529866914275</v>
      </c>
      <c r="H96" s="131">
        <f t="shared" si="11"/>
        <v>677.3999999999996</v>
      </c>
      <c r="I96" s="132">
        <f>C96-D96</f>
        <v>3614.7999999999993</v>
      </c>
    </row>
    <row r="97" spans="1:9" ht="8.25" customHeight="1" thickBot="1">
      <c r="A97" s="20"/>
      <c r="B97" s="55"/>
      <c r="C97" s="64"/>
      <c r="D97" s="65"/>
      <c r="E97" s="6"/>
      <c r="F97" s="6"/>
      <c r="G97" s="6"/>
      <c r="H97" s="65"/>
      <c r="I97" s="65"/>
    </row>
    <row r="98" spans="1:9" ht="19.5" hidden="1" thickBot="1">
      <c r="A98" s="30" t="s">
        <v>45</v>
      </c>
      <c r="B98" s="72"/>
      <c r="C98" s="73"/>
      <c r="D98" s="74"/>
      <c r="E98" s="3">
        <f>D98/D150*100</f>
        <v>0</v>
      </c>
      <c r="F98" s="3"/>
      <c r="G98" s="3" t="e">
        <f>D98/C98*100</f>
        <v>#DIV/0!</v>
      </c>
      <c r="H98" s="51"/>
      <c r="I98" s="51">
        <f>C98-D98</f>
        <v>0</v>
      </c>
    </row>
    <row r="99" spans="1:9" ht="5.25" customHeight="1" hidden="1" thickBot="1">
      <c r="A99" s="29"/>
      <c r="B99" s="69"/>
      <c r="C99" s="70"/>
      <c r="D99" s="71"/>
      <c r="E99" s="14"/>
      <c r="F99" s="6"/>
      <c r="G99" s="6"/>
      <c r="H99" s="65"/>
      <c r="I99" s="129"/>
    </row>
    <row r="100" spans="1:9" s="15" customFormat="1" ht="36" customHeight="1" hidden="1" thickBot="1">
      <c r="A100" s="13" t="s">
        <v>63</v>
      </c>
      <c r="B100" s="58"/>
      <c r="C100" s="50"/>
      <c r="D100" s="51"/>
      <c r="E100" s="3">
        <f>D100/D150*100</f>
        <v>0</v>
      </c>
      <c r="F100" s="3" t="e">
        <f>D100/B100*100</f>
        <v>#DIV/0!</v>
      </c>
      <c r="G100" s="3" t="e">
        <f>D100/C100*100</f>
        <v>#DIV/0!</v>
      </c>
      <c r="H100" s="51">
        <f>B100-D100</f>
        <v>0</v>
      </c>
      <c r="I100" s="51">
        <f>C100-D100</f>
        <v>0</v>
      </c>
    </row>
    <row r="101" spans="1:9" ht="6.75" customHeight="1" hidden="1" thickBot="1">
      <c r="A101" s="108"/>
      <c r="B101" s="109"/>
      <c r="C101" s="70"/>
      <c r="D101" s="71"/>
      <c r="E101" s="14"/>
      <c r="F101" s="6"/>
      <c r="G101" s="6"/>
      <c r="H101" s="65"/>
      <c r="I101" s="129"/>
    </row>
    <row r="102" spans="1:9" s="41" customFormat="1" ht="19.5" thickBot="1">
      <c r="A102" s="13" t="s">
        <v>11</v>
      </c>
      <c r="B102" s="58">
        <v>7671.2</v>
      </c>
      <c r="C102" s="100">
        <f>10703.3-154-3.5-134.3+83.4</f>
        <v>10494.9</v>
      </c>
      <c r="D102" s="87">
        <f>40+388.7+47.5+2+10.9+26+40+10.7+4.9+126.7+451+1.9+19.2+1.6+31.5+41+134.3+2+40+303.9+42.9+136.5+32.6+15.2+0.1+18+62.7+4.9+159.7+3.3+4.9+45.5+355.5+2+11.4+51.9+80.1+8.7+15.5+6+0.2+15+38.8+236.4+53.6+35.7+10.2+144.2+116.1+49.6+0.1+6.4+35.4+80+178.3+58.6+51.8+190.1+5+10.1+4.4+27.6+138.2+84.6+48.3+7+80+25.2+24.2+134.7+26.1+4+0.6+36.8+2.2+18.6+12.6+42.1+2+65.9+54.9-0.1+6.7+19.1+6.9+14.3+173.1+2+1+26.8+3+35.2+4+91.3+11.7+29.4+89.5+0.1+51.4+9.3+18.4+121.3+4+17.3+7.5+0.8</f>
        <v>5680.800000000001</v>
      </c>
      <c r="E102" s="22">
        <f>D102/D150*100</f>
        <v>0.5585110854245302</v>
      </c>
      <c r="F102" s="22">
        <f>D102/B102*100</f>
        <v>74.0536030868704</v>
      </c>
      <c r="G102" s="22">
        <f aca="true" t="shared" si="12" ref="G102:G148">D102/C102*100</f>
        <v>54.12914844352973</v>
      </c>
      <c r="H102" s="87">
        <f aca="true" t="shared" si="13" ref="H102:H107">B102-D102</f>
        <v>1990.3999999999987</v>
      </c>
      <c r="I102" s="87">
        <f aca="true" t="shared" si="14" ref="I102:I148">C102-D102</f>
        <v>4814.0999999999985</v>
      </c>
    </row>
    <row r="103" spans="1:9" ht="18">
      <c r="A103" s="26" t="s">
        <v>3</v>
      </c>
      <c r="B103" s="97">
        <f>91.9+1.4</f>
        <v>93.30000000000001</v>
      </c>
      <c r="C103" s="95">
        <v>187.6</v>
      </c>
      <c r="D103" s="95">
        <f>15.1+18.9-0.1+18.6+22.1+18.4</f>
        <v>93</v>
      </c>
      <c r="E103" s="91">
        <f>D103/D102*100</f>
        <v>1.6370933671313899</v>
      </c>
      <c r="F103" s="1">
        <f>D103/B103*100</f>
        <v>99.67845659163986</v>
      </c>
      <c r="G103" s="91">
        <f>D103/C103*100</f>
        <v>49.57356076759062</v>
      </c>
      <c r="H103" s="95">
        <f t="shared" si="13"/>
        <v>0.30000000000001137</v>
      </c>
      <c r="I103" s="95">
        <f t="shared" si="14"/>
        <v>94.6</v>
      </c>
    </row>
    <row r="104" spans="1:9" ht="18">
      <c r="A104" s="93" t="s">
        <v>60</v>
      </c>
      <c r="B104" s="78">
        <f>6193.5-1.4</f>
        <v>6192.1</v>
      </c>
      <c r="C104" s="48">
        <f>8863.3-154-3.5-134.3+25.3</f>
        <v>8596.8</v>
      </c>
      <c r="D104" s="48">
        <f>39.8+388.5+20.6+2+26+40+4.1+126.5+407.9+18+31.2+40.6+134.1+2+40+303.9+135.8+32.6+7.9+0.1+62.1+159.2+45.1+355.5+2+51.4+35.4+235.2+53.1+32+115.3+110.8+43.6+27+79.7+149.6+58+51.2+190+5+10+27.6+137.4+57.3+28.2+0.1+71.7+17.8+134.5+24.2+4+36.4+12.5+21+2+45.1+54.9-0.2+3.6+150.5+26.8+3+25.9+4+76+5+4+27.8+0.1+17.8+121.1+4+17.3+7.4</f>
        <v>4841.6</v>
      </c>
      <c r="E104" s="1">
        <f>D104/D102*100</f>
        <v>85.22743275594986</v>
      </c>
      <c r="F104" s="1">
        <f aca="true" t="shared" si="15" ref="F104:F148">D104/B104*100</f>
        <v>78.18995171266614</v>
      </c>
      <c r="G104" s="1">
        <f t="shared" si="12"/>
        <v>56.31863018797693</v>
      </c>
      <c r="H104" s="48">
        <f t="shared" si="13"/>
        <v>1350.5</v>
      </c>
      <c r="I104" s="48">
        <f t="shared" si="14"/>
        <v>3755.199999999999</v>
      </c>
    </row>
    <row r="105" spans="1:9" ht="54.75" hidden="1" thickBot="1">
      <c r="A105" s="94" t="s">
        <v>95</v>
      </c>
      <c r="B105" s="96"/>
      <c r="C105" s="96"/>
      <c r="D105" s="96"/>
      <c r="E105" s="92">
        <f>D105/D102*100</f>
        <v>0</v>
      </c>
      <c r="F105" s="92" t="e">
        <f>D105/B105*100</f>
        <v>#DIV/0!</v>
      </c>
      <c r="G105" s="92" t="e">
        <f>D105/C105*100</f>
        <v>#DIV/0!</v>
      </c>
      <c r="H105" s="132">
        <f t="shared" si="13"/>
        <v>0</v>
      </c>
      <c r="I105" s="132">
        <f>C105-D105</f>
        <v>0</v>
      </c>
    </row>
    <row r="106" spans="1:9" ht="18.75" thickBot="1">
      <c r="A106" s="94" t="s">
        <v>34</v>
      </c>
      <c r="B106" s="96">
        <f>B102-B103-B104</f>
        <v>1385.7999999999993</v>
      </c>
      <c r="C106" s="96">
        <f>C102-C103-C104</f>
        <v>1710.5</v>
      </c>
      <c r="D106" s="96">
        <f>D102-D103-D104</f>
        <v>746.2000000000007</v>
      </c>
      <c r="E106" s="92">
        <f>D106/D102*100</f>
        <v>13.135473876918754</v>
      </c>
      <c r="F106" s="92">
        <f t="shared" si="15"/>
        <v>53.84615384615393</v>
      </c>
      <c r="G106" s="92">
        <f t="shared" si="12"/>
        <v>43.624671148786945</v>
      </c>
      <c r="H106" s="132">
        <f>B106-D106</f>
        <v>639.5999999999985</v>
      </c>
      <c r="I106" s="132">
        <f t="shared" si="14"/>
        <v>964.2999999999993</v>
      </c>
    </row>
    <row r="107" spans="1:9" s="2" customFormat="1" ht="26.25" customHeight="1" thickBot="1">
      <c r="A107" s="88" t="s">
        <v>35</v>
      </c>
      <c r="B107" s="89">
        <f>SUM(B108:B147)-B115-B119+B148-B139-B140-B109-B112-B122-B123-B137-B131-B129</f>
        <v>445521.6</v>
      </c>
      <c r="C107" s="89">
        <f>SUM(C108:C147)-C115-C119+C148-C139-C140-C109-C112-C122-C123-C137-C131-C129</f>
        <v>564060.3999999999</v>
      </c>
      <c r="D107" s="89">
        <f>SUM(D108:D147)-D115-D119+D148-D139-D140-D109-D112-D122-D123-D137-D131-D129</f>
        <v>410045.3000000001</v>
      </c>
      <c r="E107" s="90">
        <f>D107/D150*100</f>
        <v>40.3138370610173</v>
      </c>
      <c r="F107" s="90">
        <f>D107/B107*100</f>
        <v>92.0371313085606</v>
      </c>
      <c r="G107" s="90">
        <f t="shared" si="12"/>
        <v>72.69528227828087</v>
      </c>
      <c r="H107" s="89">
        <f t="shared" si="13"/>
        <v>35476.29999999987</v>
      </c>
      <c r="I107" s="89">
        <f t="shared" si="14"/>
        <v>154015.0999999998</v>
      </c>
    </row>
    <row r="108" spans="1:9" ht="37.5">
      <c r="A108" s="31" t="s">
        <v>64</v>
      </c>
      <c r="B108" s="75">
        <v>1488.3</v>
      </c>
      <c r="C108" s="71">
        <v>2166.2</v>
      </c>
      <c r="D108" s="76">
        <f>142.7+0.9+78.6+37.4+44.2+140.1+1+20.9+25.7+0.2+2+0.6+0.4+1.8+1.5-0.1+62.6+2.1+1.9+2.9+1+9.8+0.1+52+4.8+2+1.2+2+5.2+2.6-0.1+56.3+43+2.2+0.3+6.3+0.1+46.4+1.3+6.5+1.2+1-0.1+67.4+1.9</f>
        <v>881.7999999999997</v>
      </c>
      <c r="E108" s="6">
        <f>D108/D107*100</f>
        <v>0.2150494103944124</v>
      </c>
      <c r="F108" s="6">
        <f t="shared" si="15"/>
        <v>59.24880736410668</v>
      </c>
      <c r="G108" s="6">
        <f t="shared" si="12"/>
        <v>40.70722924937678</v>
      </c>
      <c r="H108" s="65">
        <f aca="true" t="shared" si="16" ref="H108:H148">B108-D108</f>
        <v>606.5000000000002</v>
      </c>
      <c r="I108" s="65">
        <f t="shared" si="14"/>
        <v>1284.4</v>
      </c>
    </row>
    <row r="109" spans="1:9" ht="18">
      <c r="A109" s="26" t="s">
        <v>32</v>
      </c>
      <c r="B109" s="78">
        <v>770.9</v>
      </c>
      <c r="C109" s="48">
        <v>1213.5</v>
      </c>
      <c r="D109" s="79">
        <f>142.7+0.9+78.6+37.4+20.9+42.5+24.8+0.6+32.7+0.1+16.7+37.6</f>
        <v>435.5</v>
      </c>
      <c r="E109" s="1">
        <f>D109/D108*100</f>
        <v>49.38761623951011</v>
      </c>
      <c r="F109" s="1">
        <f t="shared" si="15"/>
        <v>56.492411467116355</v>
      </c>
      <c r="G109" s="1">
        <f t="shared" si="12"/>
        <v>35.88792748248867</v>
      </c>
      <c r="H109" s="48">
        <f t="shared" si="16"/>
        <v>335.4</v>
      </c>
      <c r="I109" s="48">
        <f t="shared" si="14"/>
        <v>778</v>
      </c>
    </row>
    <row r="110" spans="1:9" ht="34.5" customHeight="1">
      <c r="A110" s="16" t="s">
        <v>94</v>
      </c>
      <c r="B110" s="77">
        <v>526.9</v>
      </c>
      <c r="C110" s="65">
        <v>778.3</v>
      </c>
      <c r="D110" s="76">
        <f>26.5+20.2+7.7+37.4+7.5+38.9-0.1+38.9+12.6+45.5+9.7+1.6+37.6-0.1+56.2+1.4+57.4</f>
        <v>398.8999999999999</v>
      </c>
      <c r="E110" s="6">
        <f>D110/D107*100</f>
        <v>0.0972819344594365</v>
      </c>
      <c r="F110" s="6">
        <f>D110/B110*100</f>
        <v>75.7069652685519</v>
      </c>
      <c r="G110" s="6">
        <f t="shared" si="12"/>
        <v>51.25273030964923</v>
      </c>
      <c r="H110" s="65">
        <f t="shared" si="16"/>
        <v>128.00000000000006</v>
      </c>
      <c r="I110" s="65">
        <f t="shared" si="14"/>
        <v>379.40000000000003</v>
      </c>
    </row>
    <row r="111" spans="1:9" s="41" customFormat="1" ht="34.5" customHeight="1">
      <c r="A111" s="16" t="s">
        <v>70</v>
      </c>
      <c r="B111" s="77">
        <v>719.1</v>
      </c>
      <c r="C111" s="57">
        <v>774.1</v>
      </c>
      <c r="D111" s="80"/>
      <c r="E111" s="6">
        <f>D111/D107*100</f>
        <v>0</v>
      </c>
      <c r="F111" s="6">
        <f t="shared" si="15"/>
        <v>0</v>
      </c>
      <c r="G111" s="6">
        <f t="shared" si="12"/>
        <v>0</v>
      </c>
      <c r="H111" s="65">
        <f t="shared" si="16"/>
        <v>719.1</v>
      </c>
      <c r="I111" s="65">
        <f t="shared" si="14"/>
        <v>774.1</v>
      </c>
    </row>
    <row r="112" spans="1:9" ht="18" hidden="1">
      <c r="A112" s="26" t="s">
        <v>32</v>
      </c>
      <c r="B112" s="78"/>
      <c r="C112" s="48"/>
      <c r="D112" s="79"/>
      <c r="E112" s="1"/>
      <c r="F112" s="1" t="e">
        <f t="shared" si="15"/>
        <v>#DIV/0!</v>
      </c>
      <c r="G112" s="1" t="e">
        <f t="shared" si="12"/>
        <v>#DIV/0!</v>
      </c>
      <c r="H112" s="48">
        <f t="shared" si="16"/>
        <v>0</v>
      </c>
      <c r="I112" s="48">
        <f t="shared" si="14"/>
        <v>0</v>
      </c>
    </row>
    <row r="113" spans="1:9" ht="18.75">
      <c r="A113" s="16" t="s">
        <v>114</v>
      </c>
      <c r="B113" s="77">
        <v>50</v>
      </c>
      <c r="C113" s="65">
        <v>50</v>
      </c>
      <c r="D113" s="76">
        <f>5.8+4.7+0.7+0.7+1</f>
        <v>12.899999999999999</v>
      </c>
      <c r="E113" s="6">
        <f>D113/D107*100</f>
        <v>0.003145993869457837</v>
      </c>
      <c r="F113" s="6">
        <f t="shared" si="15"/>
        <v>25.799999999999994</v>
      </c>
      <c r="G113" s="6">
        <f t="shared" si="12"/>
        <v>25.799999999999994</v>
      </c>
      <c r="H113" s="65">
        <f t="shared" si="16"/>
        <v>37.1</v>
      </c>
      <c r="I113" s="65">
        <f t="shared" si="14"/>
        <v>37.1</v>
      </c>
    </row>
    <row r="114" spans="1:9" ht="37.5">
      <c r="A114" s="16" t="s">
        <v>46</v>
      </c>
      <c r="B114" s="77">
        <v>1271.9</v>
      </c>
      <c r="C114" s="65">
        <v>1795.8</v>
      </c>
      <c r="D114" s="76">
        <f>82.2+4.4+0.2+16.8+100.8+0.1+8.3+21.3+93.2+14.5+11.8+88.2+4.6+1.1+5.8+6+2.3+112.3+12.6+0.8+1.5+0.2+0.2+72.9+5.6+10.9+0.3+11.7+5.8+0.6+108.3+0.1+3+1.3+29.1+101.7+7.2+3.2+0.7+0.2</f>
        <v>951.8000000000003</v>
      </c>
      <c r="E114" s="6">
        <f>D114/D107*100</f>
        <v>0.23212069495736204</v>
      </c>
      <c r="F114" s="6">
        <f t="shared" si="15"/>
        <v>74.83292711691173</v>
      </c>
      <c r="G114" s="6">
        <f t="shared" si="12"/>
        <v>53.00144782269742</v>
      </c>
      <c r="H114" s="65">
        <f t="shared" si="16"/>
        <v>320.0999999999998</v>
      </c>
      <c r="I114" s="65">
        <f t="shared" si="14"/>
        <v>843.9999999999997</v>
      </c>
    </row>
    <row r="115" spans="1:9" ht="18" hidden="1">
      <c r="A115" s="37" t="s">
        <v>53</v>
      </c>
      <c r="B115" s="78"/>
      <c r="C115" s="48"/>
      <c r="D115" s="79"/>
      <c r="E115" s="6"/>
      <c r="F115" s="6" t="e">
        <f t="shared" si="15"/>
        <v>#DIV/0!</v>
      </c>
      <c r="G115" s="1" t="e">
        <f t="shared" si="12"/>
        <v>#DIV/0!</v>
      </c>
      <c r="H115" s="48">
        <f t="shared" si="16"/>
        <v>0</v>
      </c>
      <c r="I115" s="48">
        <f t="shared" si="14"/>
        <v>0</v>
      </c>
    </row>
    <row r="116" spans="1:9" s="41" customFormat="1" ht="18.75" customHeight="1">
      <c r="A116" s="16" t="s">
        <v>115</v>
      </c>
      <c r="B116" s="77">
        <v>183.5</v>
      </c>
      <c r="C116" s="57">
        <v>264.5</v>
      </c>
      <c r="D116" s="80"/>
      <c r="E116" s="17">
        <f>D116/D107*100</f>
        <v>0</v>
      </c>
      <c r="F116" s="6">
        <f t="shared" si="15"/>
        <v>0</v>
      </c>
      <c r="G116" s="17">
        <f t="shared" si="12"/>
        <v>0</v>
      </c>
      <c r="H116" s="57">
        <f t="shared" si="16"/>
        <v>183.5</v>
      </c>
      <c r="I116" s="57">
        <f t="shared" si="14"/>
        <v>264.5</v>
      </c>
    </row>
    <row r="117" spans="1:9" ht="37.5">
      <c r="A117" s="16" t="s">
        <v>57</v>
      </c>
      <c r="B117" s="77">
        <v>110</v>
      </c>
      <c r="C117" s="65">
        <v>110</v>
      </c>
      <c r="D117" s="76">
        <f>15</f>
        <v>15</v>
      </c>
      <c r="E117" s="6">
        <f>D117/D107*100</f>
        <v>0.0036581324063463226</v>
      </c>
      <c r="F117" s="6">
        <f>D117/B117*100</f>
        <v>13.636363636363635</v>
      </c>
      <c r="G117" s="6">
        <f t="shared" si="12"/>
        <v>13.636363636363635</v>
      </c>
      <c r="H117" s="65">
        <f t="shared" si="16"/>
        <v>95</v>
      </c>
      <c r="I117" s="65">
        <f t="shared" si="14"/>
        <v>95</v>
      </c>
    </row>
    <row r="118" spans="1:9" s="2" customFormat="1" ht="18.75">
      <c r="A118" s="16" t="s">
        <v>16</v>
      </c>
      <c r="B118" s="77">
        <v>164.7</v>
      </c>
      <c r="C118" s="57">
        <f>229.6+4.4</f>
        <v>234</v>
      </c>
      <c r="D118" s="76">
        <f>17.1-0.3+0.8+0.3+21.4+4.2+0.3+17.6+4.2+0.8+0.3+16.8+0.3+2+2.2+17.7+1.1+4.1+17.7+0.8+4.3+0.3+1.6+0.3+4+0.8+1.7</f>
        <v>142.4</v>
      </c>
      <c r="E118" s="6">
        <f>D118/D107*100</f>
        <v>0.03472787031091442</v>
      </c>
      <c r="F118" s="6">
        <f t="shared" si="15"/>
        <v>86.46023072252581</v>
      </c>
      <c r="G118" s="6">
        <f t="shared" si="12"/>
        <v>60.85470085470086</v>
      </c>
      <c r="H118" s="65">
        <f t="shared" si="16"/>
        <v>22.299999999999983</v>
      </c>
      <c r="I118" s="65">
        <f t="shared" si="14"/>
        <v>91.6</v>
      </c>
    </row>
    <row r="119" spans="1:9" s="36" customFormat="1" ht="18">
      <c r="A119" s="37" t="s">
        <v>53</v>
      </c>
      <c r="B119" s="78">
        <v>120.3</v>
      </c>
      <c r="C119" s="48">
        <f>170.2+4.4</f>
        <v>174.6</v>
      </c>
      <c r="D119" s="79">
        <f>17.1-0.3+16.8+16.8+16.8+17.7+17.7</f>
        <v>102.60000000000001</v>
      </c>
      <c r="E119" s="1">
        <f>D119/D118*100</f>
        <v>72.0505617977528</v>
      </c>
      <c r="F119" s="1">
        <f t="shared" si="15"/>
        <v>85.28678304239402</v>
      </c>
      <c r="G119" s="1">
        <f t="shared" si="12"/>
        <v>58.76288659793815</v>
      </c>
      <c r="H119" s="48">
        <f t="shared" si="16"/>
        <v>17.69999999999999</v>
      </c>
      <c r="I119" s="48">
        <f t="shared" si="14"/>
        <v>71.99999999999999</v>
      </c>
    </row>
    <row r="120" spans="1:9" s="2" customFormat="1" ht="18.75" hidden="1">
      <c r="A120" s="16" t="s">
        <v>25</v>
      </c>
      <c r="B120" s="77"/>
      <c r="C120" s="57"/>
      <c r="D120" s="76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5">
        <f t="shared" si="16"/>
        <v>0</v>
      </c>
      <c r="I120" s="65">
        <f t="shared" si="14"/>
        <v>0</v>
      </c>
    </row>
    <row r="121" spans="1:9" s="2" customFormat="1" ht="21.75" customHeight="1">
      <c r="A121" s="16" t="s">
        <v>44</v>
      </c>
      <c r="B121" s="77">
        <v>568.7</v>
      </c>
      <c r="C121" s="57">
        <f>204.9+375.8-12</f>
        <v>568.7</v>
      </c>
      <c r="D121" s="80">
        <f>136.8+10+57.4-0.1+22.6+0.1</f>
        <v>226.8</v>
      </c>
      <c r="E121" s="17">
        <f>D121/D107*100</f>
        <v>0.0553109619839564</v>
      </c>
      <c r="F121" s="6">
        <f t="shared" si="15"/>
        <v>39.880429048707576</v>
      </c>
      <c r="G121" s="6">
        <f t="shared" si="12"/>
        <v>39.880429048707576</v>
      </c>
      <c r="H121" s="65">
        <f t="shared" si="16"/>
        <v>341.90000000000003</v>
      </c>
      <c r="I121" s="65">
        <f t="shared" si="14"/>
        <v>341.90000000000003</v>
      </c>
    </row>
    <row r="122" spans="1:9" s="110" customFormat="1" ht="18">
      <c r="A122" s="26" t="s">
        <v>96</v>
      </c>
      <c r="B122" s="78">
        <v>80</v>
      </c>
      <c r="C122" s="48">
        <v>80</v>
      </c>
      <c r="D122" s="79">
        <f>57.4+22.6</f>
        <v>80</v>
      </c>
      <c r="E122" s="6"/>
      <c r="F122" s="1">
        <f>D122/B122*100</f>
        <v>100</v>
      </c>
      <c r="G122" s="1">
        <f t="shared" si="12"/>
        <v>100</v>
      </c>
      <c r="H122" s="48">
        <f t="shared" si="16"/>
        <v>0</v>
      </c>
      <c r="I122" s="48">
        <f t="shared" si="14"/>
        <v>0</v>
      </c>
    </row>
    <row r="123" spans="1:9" s="110" customFormat="1" ht="18" hidden="1">
      <c r="A123" s="26" t="s">
        <v>61</v>
      </c>
      <c r="B123" s="78"/>
      <c r="C123" s="48"/>
      <c r="D123" s="79"/>
      <c r="E123" s="6"/>
      <c r="F123" s="1" t="e">
        <f>D123/B123*100</f>
        <v>#DIV/0!</v>
      </c>
      <c r="G123" s="1" t="e">
        <f t="shared" si="12"/>
        <v>#DIV/0!</v>
      </c>
      <c r="H123" s="48">
        <f t="shared" si="16"/>
        <v>0</v>
      </c>
      <c r="I123" s="48">
        <f t="shared" si="14"/>
        <v>0</v>
      </c>
    </row>
    <row r="124" spans="1:9" s="2" customFormat="1" ht="37.5">
      <c r="A124" s="16" t="s">
        <v>48</v>
      </c>
      <c r="B124" s="77">
        <v>20184.8</v>
      </c>
      <c r="C124" s="57">
        <f>5096.9+1707.5+6000+16669.6</f>
        <v>29474</v>
      </c>
      <c r="D124" s="80">
        <f>3776+7.6+1124+100+14.3+14.5+0.1+20.4+3015.8+9+1156.5+27+0.1+1146.6+5.2+681+29.9+16.3+480.3+117.6+5542.8+148.8+1446+310</f>
        <v>19189.8</v>
      </c>
      <c r="E124" s="17">
        <f>D124/D107*100</f>
        <v>4.679921950086976</v>
      </c>
      <c r="F124" s="6">
        <f t="shared" si="15"/>
        <v>95.07054813523047</v>
      </c>
      <c r="G124" s="6">
        <f t="shared" si="12"/>
        <v>65.10755241908123</v>
      </c>
      <c r="H124" s="65">
        <f t="shared" si="16"/>
        <v>995</v>
      </c>
      <c r="I124" s="65">
        <f t="shared" si="14"/>
        <v>10284.2</v>
      </c>
    </row>
    <row r="125" spans="1:9" s="2" customFormat="1" ht="18.75">
      <c r="A125" s="16" t="s">
        <v>117</v>
      </c>
      <c r="B125" s="77">
        <v>825</v>
      </c>
      <c r="C125" s="57">
        <f>1239-364</f>
        <v>875</v>
      </c>
      <c r="D125" s="80"/>
      <c r="E125" s="17">
        <f>D125/D107*100</f>
        <v>0</v>
      </c>
      <c r="F125" s="133">
        <f t="shared" si="15"/>
        <v>0</v>
      </c>
      <c r="G125" s="6">
        <f t="shared" si="12"/>
        <v>0</v>
      </c>
      <c r="H125" s="65">
        <f t="shared" si="16"/>
        <v>825</v>
      </c>
      <c r="I125" s="65">
        <f t="shared" si="14"/>
        <v>875</v>
      </c>
    </row>
    <row r="126" spans="1:9" s="2" customFormat="1" ht="37.5">
      <c r="A126" s="16" t="s">
        <v>116</v>
      </c>
      <c r="B126" s="77">
        <v>20</v>
      </c>
      <c r="C126" s="57">
        <v>20</v>
      </c>
      <c r="D126" s="80"/>
      <c r="E126" s="17">
        <f>D126/D107*100</f>
        <v>0</v>
      </c>
      <c r="F126" s="133">
        <f t="shared" si="15"/>
        <v>0</v>
      </c>
      <c r="G126" s="6">
        <f t="shared" si="12"/>
        <v>0</v>
      </c>
      <c r="H126" s="65">
        <f t="shared" si="16"/>
        <v>20</v>
      </c>
      <c r="I126" s="65">
        <f t="shared" si="14"/>
        <v>20</v>
      </c>
    </row>
    <row r="127" spans="1:9" s="2" customFormat="1" ht="37.5">
      <c r="A127" s="16" t="s">
        <v>101</v>
      </c>
      <c r="B127" s="77">
        <f>22.9+32.1</f>
        <v>55</v>
      </c>
      <c r="C127" s="57">
        <v>95.1</v>
      </c>
      <c r="D127" s="80">
        <f>4.5+17.5+0.7+32.3</f>
        <v>55</v>
      </c>
      <c r="E127" s="17">
        <f>D127/D107*100</f>
        <v>0.013413152156603183</v>
      </c>
      <c r="F127" s="6">
        <f t="shared" si="15"/>
        <v>100</v>
      </c>
      <c r="G127" s="6">
        <f t="shared" si="12"/>
        <v>57.83385909568876</v>
      </c>
      <c r="H127" s="65">
        <f t="shared" si="16"/>
        <v>0</v>
      </c>
      <c r="I127" s="65">
        <f t="shared" si="14"/>
        <v>40.099999999999994</v>
      </c>
    </row>
    <row r="128" spans="1:9" s="2" customFormat="1" ht="37.5">
      <c r="A128" s="16" t="s">
        <v>73</v>
      </c>
      <c r="B128" s="77">
        <v>719.3</v>
      </c>
      <c r="C128" s="57">
        <v>983</v>
      </c>
      <c r="D128" s="80">
        <f>2.8+14.4+2.8+8.8+3.7+4+2.8+5.8+9.6+4.2+2.7+0.2+2.9+76+0.5+2.6+4.7+5.9+2.9+2.9</f>
        <v>160.2</v>
      </c>
      <c r="E128" s="17">
        <f>D128/D107*100</f>
        <v>0.03906885409977872</v>
      </c>
      <c r="F128" s="6">
        <f t="shared" si="15"/>
        <v>22.271652995968303</v>
      </c>
      <c r="G128" s="6">
        <f t="shared" si="12"/>
        <v>16.297049847405898</v>
      </c>
      <c r="H128" s="65">
        <f t="shared" si="16"/>
        <v>559.0999999999999</v>
      </c>
      <c r="I128" s="65">
        <f t="shared" si="14"/>
        <v>822.8</v>
      </c>
    </row>
    <row r="129" spans="1:9" s="36" customFormat="1" ht="18">
      <c r="A129" s="26" t="s">
        <v>110</v>
      </c>
      <c r="B129" s="78">
        <v>620.4</v>
      </c>
      <c r="C129" s="48">
        <v>851.8</v>
      </c>
      <c r="D129" s="79">
        <f>2.8+2.8-0.1+2.8+2.7+2.9+70.7+4.7+2.9+2.9</f>
        <v>95.10000000000002</v>
      </c>
      <c r="E129" s="1">
        <f>D129/D128*100</f>
        <v>59.363295880149835</v>
      </c>
      <c r="F129" s="1">
        <f>D129/B129*100</f>
        <v>15.328820116054162</v>
      </c>
      <c r="G129" s="1">
        <f t="shared" si="12"/>
        <v>11.164592627377322</v>
      </c>
      <c r="H129" s="48">
        <f t="shared" si="16"/>
        <v>525.3</v>
      </c>
      <c r="I129" s="48">
        <f t="shared" si="14"/>
        <v>756.6999999999999</v>
      </c>
    </row>
    <row r="130" spans="1:9" s="2" customFormat="1" ht="37.5">
      <c r="A130" s="16" t="s">
        <v>118</v>
      </c>
      <c r="B130" s="77">
        <v>100</v>
      </c>
      <c r="C130" s="57">
        <v>400</v>
      </c>
      <c r="D130" s="80"/>
      <c r="E130" s="17">
        <f>D130/D107*100</f>
        <v>0</v>
      </c>
      <c r="F130" s="133">
        <f t="shared" si="15"/>
        <v>0</v>
      </c>
      <c r="G130" s="6">
        <f t="shared" si="12"/>
        <v>0</v>
      </c>
      <c r="H130" s="65">
        <f t="shared" si="16"/>
        <v>100</v>
      </c>
      <c r="I130" s="65">
        <f t="shared" si="14"/>
        <v>400</v>
      </c>
    </row>
    <row r="131" spans="1:9" s="36" customFormat="1" ht="18" hidden="1">
      <c r="A131" s="37" t="s">
        <v>53</v>
      </c>
      <c r="B131" s="78"/>
      <c r="C131" s="48"/>
      <c r="D131" s="79"/>
      <c r="E131" s="1"/>
      <c r="F131" s="1" t="e">
        <f>D131/B131*100</f>
        <v>#DIV/0!</v>
      </c>
      <c r="G131" s="1" t="e">
        <f t="shared" si="12"/>
        <v>#DIV/0!</v>
      </c>
      <c r="H131" s="48">
        <f t="shared" si="16"/>
        <v>0</v>
      </c>
      <c r="I131" s="48">
        <f t="shared" si="14"/>
        <v>0</v>
      </c>
    </row>
    <row r="132" spans="1:9" s="2" customFormat="1" ht="35.25" customHeight="1">
      <c r="A132" s="16" t="s">
        <v>68</v>
      </c>
      <c r="B132" s="77">
        <v>45.4</v>
      </c>
      <c r="C132" s="57">
        <v>64.1</v>
      </c>
      <c r="D132" s="80">
        <f>0.8+2.3+1.8+1+14.8+2.3</f>
        <v>23</v>
      </c>
      <c r="E132" s="17">
        <f>D132/D107*100</f>
        <v>0.005609136356397694</v>
      </c>
      <c r="F132" s="6">
        <f t="shared" si="15"/>
        <v>50.66079295154186</v>
      </c>
      <c r="G132" s="6">
        <f t="shared" si="12"/>
        <v>35.8814352574103</v>
      </c>
      <c r="H132" s="65">
        <f t="shared" si="16"/>
        <v>22.4</v>
      </c>
      <c r="I132" s="65">
        <f t="shared" si="14"/>
        <v>41.099999999999994</v>
      </c>
    </row>
    <row r="133" spans="1:9" s="2" customFormat="1" ht="35.25" customHeight="1" hidden="1">
      <c r="A133" s="16" t="s">
        <v>69</v>
      </c>
      <c r="B133" s="77"/>
      <c r="C133" s="57"/>
      <c r="D133" s="80"/>
      <c r="E133" s="17">
        <f>D133/D107*100</f>
        <v>0</v>
      </c>
      <c r="F133" s="6" t="e">
        <f t="shared" si="15"/>
        <v>#DIV/0!</v>
      </c>
      <c r="G133" s="6" t="e">
        <f t="shared" si="12"/>
        <v>#DIV/0!</v>
      </c>
      <c r="H133" s="65">
        <f t="shared" si="16"/>
        <v>0</v>
      </c>
      <c r="I133" s="65">
        <f t="shared" si="14"/>
        <v>0</v>
      </c>
    </row>
    <row r="134" spans="1:9" s="2" customFormat="1" ht="35.25" customHeight="1">
      <c r="A134" s="16" t="s">
        <v>108</v>
      </c>
      <c r="B134" s="77">
        <v>436.2</v>
      </c>
      <c r="C134" s="57">
        <v>600</v>
      </c>
      <c r="D134" s="80">
        <f>0.8+5+0.9+2.6-0.1+0.6+0.1+0.6</f>
        <v>10.5</v>
      </c>
      <c r="E134" s="17">
        <f>D134/D107*100</f>
        <v>0.0025606926844424257</v>
      </c>
      <c r="F134" s="6">
        <f t="shared" si="15"/>
        <v>2.407152682255846</v>
      </c>
      <c r="G134" s="6">
        <f t="shared" si="12"/>
        <v>1.7500000000000002</v>
      </c>
      <c r="H134" s="65">
        <f t="shared" si="16"/>
        <v>425.7</v>
      </c>
      <c r="I134" s="65">
        <f t="shared" si="14"/>
        <v>589.5</v>
      </c>
    </row>
    <row r="135" spans="1:9" s="2" customFormat="1" ht="35.25" customHeight="1" hidden="1">
      <c r="A135" s="16" t="s">
        <v>109</v>
      </c>
      <c r="B135" s="77"/>
      <c r="C135" s="57"/>
      <c r="D135" s="80"/>
      <c r="E135" s="17">
        <f>D135/D107*100</f>
        <v>0</v>
      </c>
      <c r="F135" s="6" t="e">
        <f t="shared" si="15"/>
        <v>#DIV/0!</v>
      </c>
      <c r="G135" s="6" t="e">
        <f t="shared" si="12"/>
        <v>#DIV/0!</v>
      </c>
      <c r="H135" s="65">
        <f t="shared" si="16"/>
        <v>0</v>
      </c>
      <c r="I135" s="65">
        <f t="shared" si="14"/>
        <v>0</v>
      </c>
    </row>
    <row r="136" spans="1:9" s="2" customFormat="1" ht="37.5">
      <c r="A136" s="16" t="s">
        <v>100</v>
      </c>
      <c r="B136" s="77">
        <v>247.5</v>
      </c>
      <c r="C136" s="57">
        <v>363.7</v>
      </c>
      <c r="D136" s="80">
        <f>5.2+0.3+2.7+0.1+0.5+0.2+13.8+39.2+5+5.9+2+6.5+0.1+32.4+5+3.9+0.2+0.7+8.4+0.1+0.1+3+4.4+0.1+5.5+21.4+0.1+4.5+0.6</f>
        <v>171.9</v>
      </c>
      <c r="E136" s="17">
        <f>D136/D107*100</f>
        <v>0.04192219737672885</v>
      </c>
      <c r="F136" s="6">
        <f t="shared" si="15"/>
        <v>69.45454545454545</v>
      </c>
      <c r="G136" s="6">
        <f>D136/C136*100</f>
        <v>47.26422875996701</v>
      </c>
      <c r="H136" s="65">
        <f t="shared" si="16"/>
        <v>75.6</v>
      </c>
      <c r="I136" s="65">
        <f t="shared" si="14"/>
        <v>191.79999999999998</v>
      </c>
    </row>
    <row r="137" spans="1:9" s="36" customFormat="1" ht="18">
      <c r="A137" s="26" t="s">
        <v>32</v>
      </c>
      <c r="B137" s="78">
        <v>138.9</v>
      </c>
      <c r="C137" s="48">
        <v>218.8</v>
      </c>
      <c r="D137" s="79">
        <f>0.3+39.3+0.2+2+32.4+0.2-0.1+5.4+0.1+5.5+21.4+0.1+0.1</f>
        <v>106.89999999999998</v>
      </c>
      <c r="E137" s="111">
        <f>D137/D136*100</f>
        <v>62.1873182082606</v>
      </c>
      <c r="F137" s="1">
        <f t="shared" si="15"/>
        <v>76.96184305255578</v>
      </c>
      <c r="G137" s="1">
        <f>D137/C137*100</f>
        <v>48.857404021937825</v>
      </c>
      <c r="H137" s="48">
        <f t="shared" si="16"/>
        <v>32.00000000000003</v>
      </c>
      <c r="I137" s="48">
        <f t="shared" si="14"/>
        <v>111.90000000000003</v>
      </c>
    </row>
    <row r="138" spans="1:9" s="2" customFormat="1" ht="18.75">
      <c r="A138" s="16" t="s">
        <v>31</v>
      </c>
      <c r="B138" s="77">
        <v>964.5</v>
      </c>
      <c r="C138" s="57">
        <f>1160.2+12+85</f>
        <v>1257.2</v>
      </c>
      <c r="D138" s="80">
        <f>26.5+42.3+30.1+3.6+8.6+42.3+0.1+5.7+31.9+5.2+42.5+11.7+55+45.4+28.3+17.8+9.6+33.4+0.9+26.8+46.9+38.1-0.1+30.6+29.1+43.2+28.9+29.5+0.1+43.5+140.8</f>
        <v>898.3</v>
      </c>
      <c r="E138" s="17">
        <f>D138/D107*100</f>
        <v>0.21907335604139344</v>
      </c>
      <c r="F138" s="6">
        <f t="shared" si="15"/>
        <v>93.13634007257646</v>
      </c>
      <c r="G138" s="6">
        <f t="shared" si="12"/>
        <v>71.45243398027363</v>
      </c>
      <c r="H138" s="65">
        <f t="shared" si="16"/>
        <v>66.20000000000005</v>
      </c>
      <c r="I138" s="65">
        <f t="shared" si="14"/>
        <v>358.9000000000001</v>
      </c>
    </row>
    <row r="139" spans="1:9" s="36" customFormat="1" ht="18">
      <c r="A139" s="37" t="s">
        <v>53</v>
      </c>
      <c r="B139" s="78">
        <v>662.6</v>
      </c>
      <c r="C139" s="48">
        <v>886.2</v>
      </c>
      <c r="D139" s="79">
        <f>26.5+39.8+30.1+42.1+0.1+31.9+40.5+11.2+38.1+30.1+28.3+17.4+33.4+8.9+24.2+37.9+28.8+43.2+29.4+43.5-0.1+36.5</f>
        <v>621.8</v>
      </c>
      <c r="E139" s="1">
        <f>D139/D138*100</f>
        <v>69.21963709228542</v>
      </c>
      <c r="F139" s="1">
        <f aca="true" t="shared" si="17" ref="F139:F147">D139/B139*100</f>
        <v>93.84243887715061</v>
      </c>
      <c r="G139" s="1">
        <f t="shared" si="12"/>
        <v>70.16474836380048</v>
      </c>
      <c r="H139" s="48">
        <f t="shared" si="16"/>
        <v>40.80000000000007</v>
      </c>
      <c r="I139" s="48">
        <f t="shared" si="14"/>
        <v>264.4000000000001</v>
      </c>
    </row>
    <row r="140" spans="1:9" s="36" customFormat="1" ht="18">
      <c r="A140" s="26" t="s">
        <v>32</v>
      </c>
      <c r="B140" s="78">
        <v>23.5</v>
      </c>
      <c r="C140" s="48">
        <v>39.3</v>
      </c>
      <c r="D140" s="79">
        <f>8.6+0.2+0.3+5.1+0.4+5.3+0.3+0.3+0.2+0.3</f>
        <v>21</v>
      </c>
      <c r="E140" s="1">
        <f>D140/D138*100</f>
        <v>2.337749081598575</v>
      </c>
      <c r="F140" s="1">
        <f t="shared" si="17"/>
        <v>89.36170212765957</v>
      </c>
      <c r="G140" s="1">
        <f>D140/C140*100</f>
        <v>53.43511450381679</v>
      </c>
      <c r="H140" s="48">
        <f t="shared" si="16"/>
        <v>2.5</v>
      </c>
      <c r="I140" s="48">
        <f t="shared" si="14"/>
        <v>18.299999999999997</v>
      </c>
    </row>
    <row r="141" spans="1:9" s="2" customFormat="1" ht="56.25">
      <c r="A141" s="20" t="s">
        <v>105</v>
      </c>
      <c r="B141" s="77">
        <v>345</v>
      </c>
      <c r="C141" s="57">
        <v>345</v>
      </c>
      <c r="D141" s="80">
        <f>345</f>
        <v>345</v>
      </c>
      <c r="E141" s="17">
        <f>D141/D107*100</f>
        <v>0.0841370453459654</v>
      </c>
      <c r="F141" s="107">
        <f t="shared" si="17"/>
        <v>100</v>
      </c>
      <c r="G141" s="6">
        <f t="shared" si="12"/>
        <v>100</v>
      </c>
      <c r="H141" s="65">
        <f t="shared" si="16"/>
        <v>0</v>
      </c>
      <c r="I141" s="65">
        <f t="shared" si="14"/>
        <v>0</v>
      </c>
    </row>
    <row r="142" spans="1:9" s="2" customFormat="1" ht="18.75" hidden="1">
      <c r="A142" s="20" t="s">
        <v>107</v>
      </c>
      <c r="B142" s="77"/>
      <c r="C142" s="57"/>
      <c r="D142" s="80"/>
      <c r="E142" s="17">
        <f>D142/D107*100</f>
        <v>0</v>
      </c>
      <c r="F142" s="107" t="e">
        <f>D142/B142*100</f>
        <v>#DIV/0!</v>
      </c>
      <c r="G142" s="6" t="e">
        <f t="shared" si="12"/>
        <v>#DIV/0!</v>
      </c>
      <c r="H142" s="65">
        <f t="shared" si="16"/>
        <v>0</v>
      </c>
      <c r="I142" s="65">
        <f t="shared" si="14"/>
        <v>0</v>
      </c>
    </row>
    <row r="143" spans="1:9" s="2" customFormat="1" ht="18.75">
      <c r="A143" s="20" t="s">
        <v>102</v>
      </c>
      <c r="B143" s="77">
        <f>31185-500</f>
        <v>30685</v>
      </c>
      <c r="C143" s="57">
        <f>16744+15000+2000-2607.4+8610.1</f>
        <v>39746.7</v>
      </c>
      <c r="D143" s="80">
        <f>112.8+55.6+128.7+0.1+105.3+21.7+331.5+41.9+106.9+1197.5+64.4+33.5+768.6+5.6+65.8+1473+34.4+335.2+312.9+1166.8+460.5+1222.9+80.6+345.1+0.1+100+568+208.9+692.3+545.3+256.2+7.3+541.9+187.1+120.3+189.7+763.7+106.1+275.6+3020.5+51.8+369.9+152.3+1900.1+0.2+105.3+1278.3+11+454+278.3+766.1-0.1+1169.6+37.5+123.7+418.9+483.2+347.9+150+652.1+33.4+631.6+1290.4+174.7+188.9+1164.7</f>
        <v>28288.100000000002</v>
      </c>
      <c r="E143" s="17">
        <f>D143/D107*100</f>
        <v>6.898774354931027</v>
      </c>
      <c r="F143" s="107">
        <f t="shared" si="17"/>
        <v>92.18869154309924</v>
      </c>
      <c r="G143" s="6">
        <f t="shared" si="12"/>
        <v>71.17093997740695</v>
      </c>
      <c r="H143" s="65">
        <f t="shared" si="16"/>
        <v>2396.899999999998</v>
      </c>
      <c r="I143" s="65">
        <f t="shared" si="14"/>
        <v>11458.599999999995</v>
      </c>
    </row>
    <row r="144" spans="1:9" s="2" customFormat="1" ht="18.75" hidden="1">
      <c r="A144" s="20" t="s">
        <v>103</v>
      </c>
      <c r="B144" s="77"/>
      <c r="C144" s="57"/>
      <c r="D144" s="80"/>
      <c r="E144" s="17">
        <f>D144/D107*100</f>
        <v>0</v>
      </c>
      <c r="F144" s="107" t="e">
        <f t="shared" si="17"/>
        <v>#DIV/0!</v>
      </c>
      <c r="G144" s="6" t="e">
        <f t="shared" si="12"/>
        <v>#DIV/0!</v>
      </c>
      <c r="H144" s="65">
        <f t="shared" si="16"/>
        <v>0</v>
      </c>
      <c r="I144" s="65">
        <f t="shared" si="14"/>
        <v>0</v>
      </c>
    </row>
    <row r="145" spans="1:9" s="2" customFormat="1" ht="18.75">
      <c r="A145" s="16" t="s">
        <v>106</v>
      </c>
      <c r="B145" s="77">
        <v>2247.6</v>
      </c>
      <c r="C145" s="57">
        <f>6504.8-4188</f>
        <v>2316.8</v>
      </c>
      <c r="D145" s="80">
        <f>2094+16</f>
        <v>2110</v>
      </c>
      <c r="E145" s="17">
        <f>D145/D107*100</f>
        <v>0.5145772918260494</v>
      </c>
      <c r="F145" s="107">
        <f t="shared" si="17"/>
        <v>93.87791421961204</v>
      </c>
      <c r="G145" s="6">
        <f t="shared" si="12"/>
        <v>91.0738950276243</v>
      </c>
      <c r="H145" s="65">
        <f t="shared" si="16"/>
        <v>137.5999999999999</v>
      </c>
      <c r="I145" s="65">
        <f t="shared" si="14"/>
        <v>206.80000000000018</v>
      </c>
    </row>
    <row r="146" spans="1:12" s="2" customFormat="1" ht="18.75" customHeight="1">
      <c r="A146" s="16" t="s">
        <v>93</v>
      </c>
      <c r="B146" s="77">
        <v>602.7</v>
      </c>
      <c r="C146" s="57">
        <v>602.7</v>
      </c>
      <c r="D146" s="80">
        <f>568.7+16.6-0.1+15.4+2.1</f>
        <v>602.7</v>
      </c>
      <c r="E146" s="17">
        <f>D146/D107*100</f>
        <v>0.14698376008699524</v>
      </c>
      <c r="F146" s="107">
        <f t="shared" si="17"/>
        <v>100</v>
      </c>
      <c r="G146" s="6">
        <f t="shared" si="12"/>
        <v>100</v>
      </c>
      <c r="H146" s="65">
        <f t="shared" si="16"/>
        <v>0</v>
      </c>
      <c r="I146" s="65">
        <f t="shared" si="14"/>
        <v>0</v>
      </c>
      <c r="K146" s="42"/>
      <c r="L146" s="42"/>
    </row>
    <row r="147" spans="1:12" s="2" customFormat="1" ht="19.5" customHeight="1">
      <c r="A147" s="16" t="s">
        <v>62</v>
      </c>
      <c r="B147" s="77">
        <f>359509.3+1700</f>
        <v>361209.3</v>
      </c>
      <c r="C147" s="57">
        <f>298394.8+81857.1-188.4+8192+4136.9-39.9+58207.6+613.8</f>
        <v>451173.89999999997</v>
      </c>
      <c r="D147" s="80">
        <f>26548.7+545.5+173+4155.7+7306.3+113.6+824.5+6.1+72.3+8+1047.4+410+6261.9+444+5000+62+300+4421.1+9632.9+10381.2+4798+2674.1+4582.7+1925.2+5487.5+2575.7+1386.8+2800+3291.9+2943.8+6733.2+8553.9-805.6+5278.7+2003.9+49.6+345.1+3306.6+4469.6+5409.1+3675.7+2737.2+2197.2+4047.6+9675.8+15870.5+9518.1+214.4+3758.9+1514.4+737.1+3410.5+6394+2234+2690.6+2983.8+4077.9+1542.2+7154.2+10110.2+8575.2+1811.3+2880.2+1283.8+2875.8+7240.1+4319.9+1072+2852.3+4576.4+3174.9+3455.8+3838+4679.9+4321.5+2318.8+1595.1+5454.6+10494.7+53.8+2794.1+1700.9+572.4+2892.4+54.6+5385.4+25.8+802.6+6.5+493+41.9+3709.2</f>
        <v>335421.20000000007</v>
      </c>
      <c r="E147" s="17">
        <f>D147/D107*100</f>
        <v>81.80101076637142</v>
      </c>
      <c r="F147" s="6">
        <f t="shared" si="17"/>
        <v>92.8606212519999</v>
      </c>
      <c r="G147" s="6">
        <f t="shared" si="12"/>
        <v>74.34410545468168</v>
      </c>
      <c r="H147" s="65">
        <f t="shared" si="16"/>
        <v>25788.09999999992</v>
      </c>
      <c r="I147" s="65">
        <f t="shared" si="14"/>
        <v>115752.6999999999</v>
      </c>
      <c r="K147" s="99"/>
      <c r="L147" s="42"/>
    </row>
    <row r="148" spans="1:12" s="2" customFormat="1" ht="18.75">
      <c r="A148" s="16" t="s">
        <v>104</v>
      </c>
      <c r="B148" s="77">
        <v>21751.2</v>
      </c>
      <c r="C148" s="57">
        <v>29001.6</v>
      </c>
      <c r="D148" s="80">
        <f>805.6+805.6+805.6+805.6+805.6+805.6+805.6+805.6+805.6+805.6+805.6+805.6+805.6+805.6+805.6+805.6+805.6+805.6+805.6+805.6+805.6+805.6+805.6+805.6+805.6</f>
        <v>20140</v>
      </c>
      <c r="E148" s="17">
        <f>D148/D107*100</f>
        <v>4.911652444254329</v>
      </c>
      <c r="F148" s="6">
        <f t="shared" si="15"/>
        <v>92.5925925925926</v>
      </c>
      <c r="G148" s="6">
        <f t="shared" si="12"/>
        <v>69.44444444444446</v>
      </c>
      <c r="H148" s="65">
        <f t="shared" si="16"/>
        <v>1611.2000000000007</v>
      </c>
      <c r="I148" s="65">
        <f t="shared" si="14"/>
        <v>8861.599999999999</v>
      </c>
      <c r="K148" s="42"/>
      <c r="L148" s="42"/>
    </row>
    <row r="149" spans="1:12" s="2" customFormat="1" ht="19.5" thickBot="1">
      <c r="A149" s="38" t="s">
        <v>36</v>
      </c>
      <c r="B149" s="81">
        <f>B43+B69+B72+B77+B79+B87+B102+B107+B100+B84+B98</f>
        <v>455199.3</v>
      </c>
      <c r="C149" s="81">
        <f>C43+C69+C72+C77+C79+C87+C102+C107+C100+C84+C98</f>
        <v>581141.0999999999</v>
      </c>
      <c r="D149" s="57">
        <f>D43+D69+D72+D77+D79+D87+D102+D107+D100+D84+D98</f>
        <v>416543.9000000001</v>
      </c>
      <c r="E149" s="17"/>
      <c r="F149" s="17"/>
      <c r="G149" s="6"/>
      <c r="H149" s="65"/>
      <c r="I149" s="57"/>
      <c r="K149" s="42"/>
      <c r="L149" s="42"/>
    </row>
    <row r="150" spans="1:12" ht="19.5" thickBot="1">
      <c r="A150" s="13" t="s">
        <v>19</v>
      </c>
      <c r="B150" s="51">
        <f>B6+B18+B33+B43+B51+B59+B69+B72+B77+B79+B87+B90+B95+B102+B107+B100+B84+B98+B45</f>
        <v>1145242.4</v>
      </c>
      <c r="C150" s="51">
        <f>C6+C18+C33+C43+C51+C59+C69+C72+C77+C79+C87+C90+C95+C102+C107+C100+C84+C98+C45</f>
        <v>1503920.6999999997</v>
      </c>
      <c r="D150" s="51">
        <f>D6+D18+D33+D43+D51+D59+D69+D72+D77+D79+D87+D90+D95+D102+D107+D100+D84+D98+D45</f>
        <v>1017132.9</v>
      </c>
      <c r="E150" s="35">
        <v>100</v>
      </c>
      <c r="F150" s="3">
        <f>D150/B150*100</f>
        <v>88.8137655399416</v>
      </c>
      <c r="G150" s="3">
        <f aca="true" t="shared" si="18" ref="G150:G156">D150/C150*100</f>
        <v>67.632083260773</v>
      </c>
      <c r="H150" s="51">
        <f aca="true" t="shared" si="19" ref="H150:H156">B150-D150</f>
        <v>128109.49999999988</v>
      </c>
      <c r="I150" s="51">
        <f aca="true" t="shared" si="20" ref="I150:I156">C150-D150</f>
        <v>486787.7999999997</v>
      </c>
      <c r="K150" s="43"/>
      <c r="L150" s="44"/>
    </row>
    <row r="151" spans="1:12" ht="18.75">
      <c r="A151" s="20" t="s">
        <v>5</v>
      </c>
      <c r="B151" s="64">
        <f>B8+B20+B34+B52+B60+B91+B115+B119+B46+B139+B131+B103</f>
        <v>454922.1</v>
      </c>
      <c r="C151" s="64">
        <f>C8+C20+C34+C52+C60+C91+C115+C119+C46+C139+C131+C103</f>
        <v>608055.8999999997</v>
      </c>
      <c r="D151" s="64">
        <f>D8+D20+D34+D52+D60+D91+D115+D119+D46+D139+D131+D103</f>
        <v>418619.1999999999</v>
      </c>
      <c r="E151" s="6">
        <f>D151/D150*100</f>
        <v>41.156784919650114</v>
      </c>
      <c r="F151" s="6">
        <f aca="true" t="shared" si="21" ref="F151:F162">D151/B151*100</f>
        <v>92.01997440880535</v>
      </c>
      <c r="G151" s="6">
        <f t="shared" si="18"/>
        <v>68.84551239450191</v>
      </c>
      <c r="H151" s="65">
        <f t="shared" si="19"/>
        <v>36302.90000000008</v>
      </c>
      <c r="I151" s="76">
        <f t="shared" si="20"/>
        <v>189436.69999999978</v>
      </c>
      <c r="K151" s="43"/>
      <c r="L151" s="44"/>
    </row>
    <row r="152" spans="1:12" ht="18.75">
      <c r="A152" s="20" t="s">
        <v>0</v>
      </c>
      <c r="B152" s="65">
        <f>B11+B23+B36+B55+B62+B92+B49+B140+B109+B112+B96+B137</f>
        <v>77515.3</v>
      </c>
      <c r="C152" s="65">
        <f>C11+C23+C36+C55+C62+C92+C49+C140+C109+C112+C96+C137</f>
        <v>121928.70000000001</v>
      </c>
      <c r="D152" s="65">
        <f>D11+D23+D36+D55+D62+D92+D49+D140+D109+D112+D96+D137</f>
        <v>55141.6</v>
      </c>
      <c r="E152" s="6">
        <f>D152/D150*100</f>
        <v>5.421277789755892</v>
      </c>
      <c r="F152" s="6">
        <f t="shared" si="21"/>
        <v>71.13640790914826</v>
      </c>
      <c r="G152" s="6">
        <f t="shared" si="18"/>
        <v>45.22446314936516</v>
      </c>
      <c r="H152" s="65">
        <f t="shared" si="19"/>
        <v>22373.700000000004</v>
      </c>
      <c r="I152" s="76">
        <f t="shared" si="20"/>
        <v>66787.1</v>
      </c>
      <c r="K152" s="43"/>
      <c r="L152" s="98"/>
    </row>
    <row r="153" spans="1:12" ht="18.75">
      <c r="A153" s="20" t="s">
        <v>1</v>
      </c>
      <c r="B153" s="64">
        <f>B22+B10+B54+B48+B61+B35+B123</f>
        <v>24808.399999999998</v>
      </c>
      <c r="C153" s="64">
        <f>C22+C10+C54+C48+C61+C35+C123</f>
        <v>31721.800000000003</v>
      </c>
      <c r="D153" s="64">
        <f>D22+D10+D54+D48+D61+D35+D123</f>
        <v>20002.700000000008</v>
      </c>
      <c r="E153" s="6">
        <f>D153/D150*100</f>
        <v>1.9665768357311035</v>
      </c>
      <c r="F153" s="6">
        <f t="shared" si="21"/>
        <v>80.62873865303692</v>
      </c>
      <c r="G153" s="6">
        <f t="shared" si="18"/>
        <v>63.05663613035832</v>
      </c>
      <c r="H153" s="65">
        <f t="shared" si="19"/>
        <v>4805.69999999999</v>
      </c>
      <c r="I153" s="76">
        <f t="shared" si="20"/>
        <v>11719.099999999995</v>
      </c>
      <c r="K153" s="43"/>
      <c r="L153" s="44"/>
    </row>
    <row r="154" spans="1:12" ht="21" customHeight="1">
      <c r="A154" s="20" t="s">
        <v>15</v>
      </c>
      <c r="B154" s="64">
        <f>B12+B24+B104+B63+B38+B93+B129+B56</f>
        <v>22082.800000000003</v>
      </c>
      <c r="C154" s="64">
        <f>C12+C24+C104+C63+C38+C93+C129+C56</f>
        <v>29372.4</v>
      </c>
      <c r="D154" s="64">
        <f>D12+D24+D104+D63+D38+D93+D129+D56</f>
        <v>15916.700000000003</v>
      </c>
      <c r="E154" s="6">
        <f>D154/D150*100</f>
        <v>1.5648594200423565</v>
      </c>
      <c r="F154" s="6">
        <f t="shared" si="21"/>
        <v>72.07736337783253</v>
      </c>
      <c r="G154" s="6">
        <f t="shared" si="18"/>
        <v>54.18930696844657</v>
      </c>
      <c r="H154" s="65">
        <f t="shared" si="19"/>
        <v>6166.1</v>
      </c>
      <c r="I154" s="76">
        <f t="shared" si="20"/>
        <v>13455.699999999999</v>
      </c>
      <c r="K154" s="43"/>
      <c r="L154" s="98"/>
    </row>
    <row r="155" spans="1:12" ht="18.75">
      <c r="A155" s="20" t="s">
        <v>2</v>
      </c>
      <c r="B155" s="64">
        <f>B9+B21+B47+B53+B122</f>
        <v>18891.2</v>
      </c>
      <c r="C155" s="64">
        <f>C9+C21+C47+C53+C122</f>
        <v>22288.699999999997</v>
      </c>
      <c r="D155" s="64">
        <f>D9+D21+D47+D53+D122</f>
        <v>15172.500000000002</v>
      </c>
      <c r="E155" s="6">
        <f>D155/D150*100</f>
        <v>1.4916929734550914</v>
      </c>
      <c r="F155" s="6">
        <f t="shared" si="21"/>
        <v>80.3151732023376</v>
      </c>
      <c r="G155" s="6">
        <f t="shared" si="18"/>
        <v>68.07261078483717</v>
      </c>
      <c r="H155" s="65">
        <f t="shared" si="19"/>
        <v>3718.699999999999</v>
      </c>
      <c r="I155" s="76">
        <f t="shared" si="20"/>
        <v>7116.199999999995</v>
      </c>
      <c r="K155" s="43"/>
      <c r="L155" s="44"/>
    </row>
    <row r="156" spans="1:12" ht="19.5" thickBot="1">
      <c r="A156" s="20" t="s">
        <v>34</v>
      </c>
      <c r="B156" s="64">
        <f>B150-B151-B152-B153-B154-B155</f>
        <v>547022.5999999999</v>
      </c>
      <c r="C156" s="64">
        <f>C150-C151-C152-C153-C154-C155</f>
        <v>690553.2000000001</v>
      </c>
      <c r="D156" s="64">
        <f>D150-D151-D152-D153-D154-D155</f>
        <v>492280.2000000002</v>
      </c>
      <c r="E156" s="6">
        <f>D156/D150*100</f>
        <v>48.39880806136545</v>
      </c>
      <c r="F156" s="6">
        <f t="shared" si="21"/>
        <v>89.99266209476544</v>
      </c>
      <c r="G156" s="40">
        <f t="shared" si="18"/>
        <v>71.28780230111164</v>
      </c>
      <c r="H156" s="65">
        <f t="shared" si="19"/>
        <v>54742.399999999674</v>
      </c>
      <c r="I156" s="65">
        <f t="shared" si="20"/>
        <v>198272.99999999988</v>
      </c>
      <c r="K156" s="43"/>
      <c r="L156" s="98"/>
    </row>
    <row r="157" spans="1:12" ht="5.25" customHeight="1" thickBot="1">
      <c r="A157" s="32"/>
      <c r="B157" s="82"/>
      <c r="C157" s="83"/>
      <c r="D157" s="83"/>
      <c r="E157" s="18"/>
      <c r="F157" s="18"/>
      <c r="G157" s="18"/>
      <c r="H157" s="18"/>
      <c r="I157" s="19"/>
      <c r="K157" s="43"/>
      <c r="L157" s="43"/>
    </row>
    <row r="158" spans="1:12" ht="18.75">
      <c r="A158" s="29" t="s">
        <v>21</v>
      </c>
      <c r="B158" s="84">
        <f>35078.4-3580-234</f>
        <v>31264.4</v>
      </c>
      <c r="C158" s="70">
        <f>33586.6+500+7325.2</f>
        <v>41411.799999999996</v>
      </c>
      <c r="D158" s="70">
        <f>33+3.1+31.8+118.6+8.5+18.3+41+591.6+0.1+448.4+20+14.4+41.3+31.5+458.7+42.9+92.6+54.3+185.1+276.9+138.9+420.8+189.7+128.4+1374+1199.8+948.5+463.6+2.3+2.2+200+677.2-390.9+28.9+159.7+371.4+9.6+31.3+19.2+239.7+1+60+59.5+69+4.8+207.4+131.8+36.3+6.1+4.5+29.9+77.3+33.3+1.6</f>
        <v>9448.9</v>
      </c>
      <c r="E158" s="14"/>
      <c r="F158" s="6">
        <f t="shared" si="21"/>
        <v>30.222553447371446</v>
      </c>
      <c r="G158" s="6">
        <f aca="true" t="shared" si="22" ref="G158:G167">D158/C158*100</f>
        <v>22.81692657648303</v>
      </c>
      <c r="H158" s="65">
        <f>B158-D158</f>
        <v>21815.5</v>
      </c>
      <c r="I158" s="65">
        <f aca="true" t="shared" si="23" ref="I158:I167">C158-D158</f>
        <v>31962.899999999994</v>
      </c>
      <c r="K158" s="43"/>
      <c r="L158" s="43"/>
    </row>
    <row r="159" spans="1:12" ht="18.75">
      <c r="A159" s="20" t="s">
        <v>22</v>
      </c>
      <c r="B159" s="85">
        <f>45935.7-1181.5</f>
        <v>44754.2</v>
      </c>
      <c r="C159" s="64">
        <f>51080.5+400+4581.4</f>
        <v>56061.9</v>
      </c>
      <c r="D159" s="64">
        <f>100+49.9+293.6+174.2+159.5+52+404.4+89.3+150+694.7+650+637.7+888.1+1549.4+1150.4+28.8+73+685+233.1+79.4+200+254.7+419.8+99.5+57.1+1.6+2862.1+4096.9+63.4+185.1+178.3+1864.4+0.1+67.7+62.8+1037.9+2.3+1408.4+110.5+74.8+4.2+339.9+777.7+187.4+329+752+511.5</f>
        <v>24091.600000000006</v>
      </c>
      <c r="E159" s="6"/>
      <c r="F159" s="6">
        <f t="shared" si="21"/>
        <v>53.830925365664015</v>
      </c>
      <c r="G159" s="6">
        <f t="shared" si="22"/>
        <v>42.97321353717945</v>
      </c>
      <c r="H159" s="65">
        <f aca="true" t="shared" si="24" ref="H159:H166">B159-D159</f>
        <v>20662.59999999999</v>
      </c>
      <c r="I159" s="65">
        <f t="shared" si="23"/>
        <v>31970.299999999996</v>
      </c>
      <c r="K159" s="43"/>
      <c r="L159" s="43"/>
    </row>
    <row r="160" spans="1:12" ht="18.75">
      <c r="A160" s="20" t="s">
        <v>58</v>
      </c>
      <c r="B160" s="85">
        <f>297236.8-6716.5+3115.5</f>
        <v>293635.8</v>
      </c>
      <c r="C160" s="64">
        <f>327552.4-500+46301</f>
        <v>373353.4</v>
      </c>
      <c r="D160" s="64">
        <f>12.5+3344.4+45.2+21.2+85.3+173+1150+146+881.8+6.7+72.3+7.9+1090.6+406.5+1979.4+513.5+90.2+25+189.9+299.5+4617.2+143.8+383.9+349+1337.3+105+3537.4+179.7+0.2+347+89.2+455.4+1183.6+1049+2489.3+7883.1+586.6+2942+1168.8+1161.9+3138.3+5.5+4318.4-100+1567.6+1721+1320.7+1420.9+574.5+103.4+6032+2119.5+308.3+61.3-211.3+3307.3+3555.3+793.5+341.4+414+1037.3+2700.7+62.1+513.6-21.8+523.9+11473.2+6029.9+604.8+30+771+3780.1+2092.8+4737.5+860.6+514.3+1111.5+8+299.3+489.8+1553.9+546.9+459.7+238.7-28+1021.6+19.5+43.6+2.2+390.7+1046-1.3+2046.8+137.3+9065.4+72+3371.2+5709.9+3459.9+606.3+2273+164.4+1526.7+1413.9+764.7+1688.7+1859.6+1164.3+653+562.3+2735.2+296+599.2+2541+1+1817.6+100.2+1863.3+4501+4519.8+810.6+3118.8+1617.5+632.1</f>
        <v>175946.7</v>
      </c>
      <c r="E160" s="6"/>
      <c r="F160" s="6">
        <f t="shared" si="21"/>
        <v>59.920043809372025</v>
      </c>
      <c r="G160" s="6">
        <f t="shared" si="22"/>
        <v>47.12604733209876</v>
      </c>
      <c r="H160" s="65">
        <f t="shared" si="24"/>
        <v>117689.09999999998</v>
      </c>
      <c r="I160" s="65">
        <f t="shared" si="23"/>
        <v>197406.7</v>
      </c>
      <c r="K160" s="43"/>
      <c r="L160" s="43"/>
    </row>
    <row r="161" spans="1:12" ht="37.5">
      <c r="A161" s="20" t="s">
        <v>67</v>
      </c>
      <c r="B161" s="85">
        <v>4923.4</v>
      </c>
      <c r="C161" s="64">
        <v>4923.4</v>
      </c>
      <c r="D161" s="64">
        <f>1477+1723.2</f>
        <v>3200.2</v>
      </c>
      <c r="E161" s="6"/>
      <c r="F161" s="6">
        <f t="shared" si="21"/>
        <v>64.99979688832921</v>
      </c>
      <c r="G161" s="6">
        <f t="shared" si="22"/>
        <v>64.99979688832921</v>
      </c>
      <c r="H161" s="65">
        <f t="shared" si="24"/>
        <v>1723.1999999999998</v>
      </c>
      <c r="I161" s="65">
        <f t="shared" si="23"/>
        <v>1723.1999999999998</v>
      </c>
      <c r="K161" s="43"/>
      <c r="L161" s="43"/>
    </row>
    <row r="162" spans="1:12" ht="18.75">
      <c r="A162" s="20" t="s">
        <v>13</v>
      </c>
      <c r="B162" s="85">
        <v>11805.1</v>
      </c>
      <c r="C162" s="64">
        <f>9501+4181.1</f>
        <v>13682.1</v>
      </c>
      <c r="D162" s="64">
        <f>49.9+127.8+39.6+53.8+398.2+8.4+32.5+231.9+89.8+103.6+52.4+19.2+179.2+118+109.5+32.3+81.3+0.1+165.4+333.7+47.5+192.2+86.9+18.7+23.4+29.9+20+910.7+69.7+74+286.2+38+40.3+12.5+359+340.9+125.3+186.9+37.9+212+48.2+98.7+68.2+138.6+190+256.6+149.7+7.5+30+214.1+68.7+210.2+295.8+320.2</f>
        <v>7435.0999999999985</v>
      </c>
      <c r="E162" s="17"/>
      <c r="F162" s="6">
        <f t="shared" si="21"/>
        <v>62.9821009563663</v>
      </c>
      <c r="G162" s="6">
        <f t="shared" si="22"/>
        <v>54.34180425519474</v>
      </c>
      <c r="H162" s="65">
        <f t="shared" si="24"/>
        <v>4370.000000000002</v>
      </c>
      <c r="I162" s="65">
        <f t="shared" si="23"/>
        <v>6247.000000000002</v>
      </c>
      <c r="K162" s="43"/>
      <c r="L162" s="43"/>
    </row>
    <row r="163" spans="1:12" ht="18.75" hidden="1">
      <c r="A163" s="20" t="s">
        <v>26</v>
      </c>
      <c r="B163" s="85"/>
      <c r="C163" s="64"/>
      <c r="D163" s="64"/>
      <c r="E163" s="17"/>
      <c r="F163" s="6" t="e">
        <f>D163/B163*100</f>
        <v>#DIV/0!</v>
      </c>
      <c r="G163" s="6" t="e">
        <f t="shared" si="22"/>
        <v>#DIV/0!</v>
      </c>
      <c r="H163" s="65">
        <f t="shared" si="24"/>
        <v>0</v>
      </c>
      <c r="I163" s="65">
        <f t="shared" si="23"/>
        <v>0</v>
      </c>
      <c r="K163" s="43"/>
      <c r="L163" s="43"/>
    </row>
    <row r="164" spans="1:9" ht="19.5" thickBot="1">
      <c r="A164" s="20" t="s">
        <v>52</v>
      </c>
      <c r="B164" s="85">
        <v>1572.4</v>
      </c>
      <c r="C164" s="64">
        <v>2118.3</v>
      </c>
      <c r="D164" s="64">
        <f>394.4+14+15.3+287.2</f>
        <v>710.9</v>
      </c>
      <c r="E164" s="17"/>
      <c r="F164" s="6">
        <f>D164/B164*100</f>
        <v>45.21114220300178</v>
      </c>
      <c r="G164" s="6">
        <f t="shared" si="22"/>
        <v>33.559930132653534</v>
      </c>
      <c r="H164" s="65">
        <f t="shared" si="24"/>
        <v>861.5000000000001</v>
      </c>
      <c r="I164" s="65">
        <f t="shared" si="23"/>
        <v>1407.4</v>
      </c>
    </row>
    <row r="165" spans="1:9" ht="19.5" customHeight="1" hidden="1">
      <c r="A165" s="20" t="s">
        <v>65</v>
      </c>
      <c r="B165" s="85"/>
      <c r="C165" s="64"/>
      <c r="D165" s="64"/>
      <c r="E165" s="17"/>
      <c r="F165" s="6" t="e">
        <f>D165/B165*100</f>
        <v>#DIV/0!</v>
      </c>
      <c r="G165" s="6" t="e">
        <f t="shared" si="22"/>
        <v>#DIV/0!</v>
      </c>
      <c r="H165" s="65">
        <f t="shared" si="24"/>
        <v>0</v>
      </c>
      <c r="I165" s="65">
        <f t="shared" si="23"/>
        <v>0</v>
      </c>
    </row>
    <row r="166" spans="1:9" ht="19.5" hidden="1" thickBot="1">
      <c r="A166" s="20" t="s">
        <v>59</v>
      </c>
      <c r="B166" s="85"/>
      <c r="C166" s="86"/>
      <c r="D166" s="86"/>
      <c r="E166" s="21"/>
      <c r="F166" s="6" t="e">
        <f>D166/B166*100</f>
        <v>#DIV/0!</v>
      </c>
      <c r="G166" s="6" t="e">
        <f t="shared" si="22"/>
        <v>#DIV/0!</v>
      </c>
      <c r="H166" s="65">
        <f t="shared" si="24"/>
        <v>0</v>
      </c>
      <c r="I166" s="65">
        <f t="shared" si="23"/>
        <v>0</v>
      </c>
    </row>
    <row r="167" spans="1:9" ht="19.5" thickBot="1">
      <c r="A167" s="13" t="s">
        <v>20</v>
      </c>
      <c r="B167" s="87">
        <f>B150+B158+B162+B163+B159+B166+B165+B160+B164+B161</f>
        <v>1533197.6999999997</v>
      </c>
      <c r="C167" s="87">
        <f>C150+C158+C162+C163+C159+C166+C165+C160+C164+C161</f>
        <v>1995471.5999999999</v>
      </c>
      <c r="D167" s="87">
        <f>D150+D158+D162+D163+D159+D166+D165+D160+D164+D161</f>
        <v>1237966.2999999998</v>
      </c>
      <c r="E167" s="22"/>
      <c r="F167" s="3">
        <f>D167/B167*100</f>
        <v>80.74407494871666</v>
      </c>
      <c r="G167" s="3">
        <f t="shared" si="22"/>
        <v>62.038783212950754</v>
      </c>
      <c r="H167" s="51">
        <f>B167-D167</f>
        <v>295231.3999999999</v>
      </c>
      <c r="I167" s="51">
        <f t="shared" si="23"/>
        <v>757505.3</v>
      </c>
    </row>
    <row r="168" spans="7:8" ht="12.75">
      <c r="G168" s="23"/>
      <c r="H168" s="23"/>
    </row>
    <row r="169" spans="7:9" ht="12.75">
      <c r="G169" s="23"/>
      <c r="H169" s="23"/>
      <c r="I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  <row r="406" spans="7:8" ht="12.75">
      <c r="G406" s="23"/>
      <c r="H406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67">
    <cfRule type="cellIs" priority="3" dxfId="2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1017132.9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фінансування'!C150</f>
        <v>1503920.6999999997</v>
      </c>
    </row>
    <row r="2" spans="1:5" ht="15.75">
      <c r="A2" s="4"/>
      <c r="B2" s="4"/>
      <c r="C2" s="4"/>
      <c r="D2" s="4" t="s">
        <v>38</v>
      </c>
      <c r="E2" s="5">
        <f>'аналіз фінансування'!D150</f>
        <v>1017132.9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2016-08-31T14:21:06Z</cp:lastPrinted>
  <dcterms:created xsi:type="dcterms:W3CDTF">2000-06-20T04:48:00Z</dcterms:created>
  <dcterms:modified xsi:type="dcterms:W3CDTF">2016-09-16T09:34:16Z</dcterms:modified>
  <cp:category/>
  <cp:version/>
  <cp:contentType/>
  <cp:contentStatus/>
</cp:coreProperties>
</file>